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purecyclewater-my.sharepoint.com/personal/bbrouillard_purecyclewater_com/Documents/Desktop/For Colin to Upload/"/>
    </mc:Choice>
  </mc:AlternateContent>
  <xr:revisionPtr revIDLastSave="436" documentId="8_{CBBD6CD3-4F21-4AC9-9F76-AC5F45B72208}" xr6:coauthVersionLast="47" xr6:coauthVersionMax="47" xr10:uidLastSave="{FA6D8B61-CDFC-4AD6-8477-0D3F4C415C86}"/>
  <bookViews>
    <workbookView xWindow="8010" yWindow="15" windowWidth="30390" windowHeight="15465" firstSheet="1" activeTab="2" xr2:uid="{00000000-000D-0000-FFFF-FFFF00000000}"/>
  </bookViews>
  <sheets>
    <sheet name="Domestic Water Services Page" sheetId="1" state="hidden" r:id="rId1"/>
    <sheet name="Agreement" sheetId="13" r:id="rId2"/>
    <sheet name="Tap Calculator" sheetId="2" r:id="rId3"/>
    <sheet name="Other Areas Page" sheetId="3" state="hidden" r:id="rId4"/>
    <sheet name="SDC Approach" sheetId="4" state="hidden" r:id="rId5"/>
    <sheet name="Monthly Cost Compare" sheetId="5" state="hidden" r:id="rId6"/>
    <sheet name="Tap Fee Cost Compare" sheetId="6" state="hidden" r:id="rId7"/>
  </sheets>
  <definedNames>
    <definedName name="_xlnm.Print_Area" localSheetId="1">Agreement!$C$1:$Q$62</definedName>
    <definedName name="_xlnm.Print_Area" localSheetId="4">'SDC Approach'!$B$1:$X$37</definedName>
    <definedName name="_xlnm.Print_Area" localSheetId="2">'Tap Calculator'!$B$1:$T$98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2" i="2" l="1"/>
  <c r="P82" i="2" s="1"/>
  <c r="G82" i="2"/>
  <c r="O82" i="2" s="1"/>
  <c r="M82" i="2" l="1"/>
  <c r="L82" i="2"/>
  <c r="J82" i="2"/>
  <c r="I82" i="2"/>
  <c r="H82" i="2"/>
  <c r="N82" i="2" s="1"/>
  <c r="E83" i="2" l="1"/>
  <c r="K82" i="2"/>
  <c r="F82" i="2"/>
  <c r="E5" i="2" l="1"/>
  <c r="E4" i="2"/>
  <c r="I30" i="13" l="1"/>
  <c r="O34" i="2" l="1"/>
  <c r="O26" i="2" l="1"/>
  <c r="O28" i="2" s="1"/>
  <c r="P123" i="2"/>
  <c r="P124" i="2" s="1"/>
  <c r="E124" i="2"/>
  <c r="J124" i="2" s="1"/>
  <c r="AI121" i="2" s="1"/>
  <c r="AJ121" i="2" s="1"/>
  <c r="P128" i="2"/>
  <c r="V125" i="2" s="1"/>
  <c r="C29" i="6"/>
  <c r="C33" i="6" s="1"/>
  <c r="J107" i="2" s="1"/>
  <c r="C17" i="6"/>
  <c r="C18" i="6" s="1"/>
  <c r="C22" i="6" s="1"/>
  <c r="J106" i="2" s="1"/>
  <c r="C8" i="6"/>
  <c r="C10" i="6" s="1"/>
  <c r="J105" i="2" s="1"/>
  <c r="E53" i="5"/>
  <c r="E68" i="5"/>
  <c r="E69" i="5"/>
  <c r="H64" i="5" s="1"/>
  <c r="I64" i="5" s="1"/>
  <c r="J64" i="5" s="1"/>
  <c r="K64" i="5" s="1"/>
  <c r="L64" i="5" s="1"/>
  <c r="M64" i="5" s="1"/>
  <c r="N64" i="5" s="1"/>
  <c r="O64" i="5" s="1"/>
  <c r="P64" i="5" s="1"/>
  <c r="Q64" i="5" s="1"/>
  <c r="R64" i="5" s="1"/>
  <c r="S64" i="5" s="1"/>
  <c r="E22" i="5"/>
  <c r="E23" i="5" s="1"/>
  <c r="H17" i="5" s="1"/>
  <c r="I17" i="5" s="1"/>
  <c r="J17" i="5" s="1"/>
  <c r="K17" i="5" s="1"/>
  <c r="L17" i="5" s="1"/>
  <c r="M17" i="5" s="1"/>
  <c r="N17" i="5" s="1"/>
  <c r="O17" i="5" s="1"/>
  <c r="P17" i="5" s="1"/>
  <c r="Q17" i="5" s="1"/>
  <c r="R17" i="5" s="1"/>
  <c r="S17" i="5" s="1"/>
  <c r="E45" i="5"/>
  <c r="E42" i="5"/>
  <c r="I16" i="5"/>
  <c r="J16" i="5"/>
  <c r="K16" i="5"/>
  <c r="L16" i="5"/>
  <c r="M16" i="5"/>
  <c r="N16" i="5"/>
  <c r="O16" i="5"/>
  <c r="P16" i="5"/>
  <c r="Q16" i="5"/>
  <c r="R16" i="5"/>
  <c r="S16" i="5"/>
  <c r="H16" i="5"/>
  <c r="E5" i="5"/>
  <c r="F15" i="4"/>
  <c r="F18" i="4"/>
  <c r="S13" i="4"/>
  <c r="S9" i="4"/>
  <c r="U16" i="4"/>
  <c r="F21" i="4"/>
  <c r="J123" i="2"/>
  <c r="V123" i="2" s="1"/>
  <c r="F123" i="2"/>
  <c r="G123" i="2" s="1"/>
  <c r="I13" i="4" l="1"/>
  <c r="J13" i="4" s="1"/>
  <c r="E46" i="5"/>
  <c r="H41" i="5" s="1"/>
  <c r="I41" i="5" s="1"/>
  <c r="J41" i="5" s="1"/>
  <c r="K41" i="5" s="1"/>
  <c r="L41" i="5" s="1"/>
  <c r="M41" i="5" s="1"/>
  <c r="N41" i="5" s="1"/>
  <c r="O41" i="5" s="1"/>
  <c r="P41" i="5" s="1"/>
  <c r="Q41" i="5" s="1"/>
  <c r="R41" i="5" s="1"/>
  <c r="S41" i="5" s="1"/>
  <c r="J108" i="2"/>
  <c r="E125" i="2"/>
  <c r="Q123" i="2"/>
  <c r="R123" i="2" s="1"/>
  <c r="S123" i="2" s="1"/>
  <c r="Q124" i="2"/>
  <c r="R124" i="2" s="1"/>
  <c r="S124" i="2" s="1"/>
  <c r="M9" i="4"/>
  <c r="V129" i="2"/>
  <c r="S22" i="4"/>
  <c r="F124" i="2"/>
  <c r="G124" i="2" s="1"/>
  <c r="S125" i="2" l="1"/>
  <c r="J125" i="2"/>
  <c r="F125" i="2"/>
  <c r="G125" i="2" s="1"/>
  <c r="R125" i="2"/>
  <c r="W126" i="2" s="1"/>
  <c r="O18" i="2"/>
  <c r="I9" i="4"/>
  <c r="M23" i="4"/>
  <c r="Q22" i="4" s="1"/>
  <c r="U22" i="4" s="1"/>
  <c r="M13" i="4"/>
  <c r="M18" i="4" s="1"/>
  <c r="Q13" i="4" s="1"/>
  <c r="U13" i="4" s="1"/>
  <c r="N9" i="4"/>
  <c r="N13" i="4" s="1"/>
  <c r="V124" i="2" l="1"/>
  <c r="V126" i="2" s="1"/>
  <c r="N36" i="2"/>
  <c r="AR123" i="2" s="1"/>
  <c r="J9" i="4"/>
  <c r="J17" i="4" s="1"/>
  <c r="I17" i="4"/>
  <c r="AN121" i="2"/>
  <c r="N40" i="2"/>
  <c r="D43" i="4"/>
  <c r="Q9" i="4"/>
  <c r="U9" i="4" s="1"/>
  <c r="U18" i="4" s="1"/>
  <c r="U24" i="4" s="1"/>
  <c r="Z123" i="2" l="1"/>
  <c r="N44" i="2" s="1"/>
  <c r="J50" i="2" s="1"/>
  <c r="N41" i="2"/>
  <c r="N43" i="2" s="1"/>
  <c r="AV123" i="2"/>
  <c r="P58" i="5" s="1"/>
  <c r="AS123" i="2"/>
  <c r="M58" i="5" s="1"/>
  <c r="AP123" i="2"/>
  <c r="J58" i="5" s="1"/>
  <c r="AQ123" i="2"/>
  <c r="K58" i="5" s="1"/>
  <c r="AO123" i="2"/>
  <c r="I58" i="5" s="1"/>
  <c r="AN123" i="2"/>
  <c r="H58" i="5" s="1"/>
  <c r="AT123" i="2"/>
  <c r="N58" i="5" s="1"/>
  <c r="AW123" i="2"/>
  <c r="Q58" i="5" s="1"/>
  <c r="AY123" i="2"/>
  <c r="S58" i="5" s="1"/>
  <c r="AU123" i="2"/>
  <c r="O58" i="5" s="1"/>
  <c r="AX123" i="2"/>
  <c r="R58" i="5" s="1"/>
  <c r="H57" i="5"/>
  <c r="AO121" i="2"/>
  <c r="L58" i="5"/>
  <c r="J109" i="2" l="1"/>
  <c r="H50" i="2"/>
  <c r="I28" i="13" s="1"/>
  <c r="AN124" i="2"/>
  <c r="AN125" i="2" s="1"/>
  <c r="I57" i="5"/>
  <c r="AP121" i="2"/>
  <c r="AO124" i="2"/>
  <c r="I29" i="13" l="1"/>
  <c r="I33" i="13" s="1"/>
  <c r="AN126" i="2"/>
  <c r="AN127" i="2" s="1"/>
  <c r="AO125" i="2"/>
  <c r="AQ121" i="2"/>
  <c r="J57" i="5"/>
  <c r="AP124" i="2"/>
  <c r="AR121" i="2" l="1"/>
  <c r="K57" i="5"/>
  <c r="AQ124" i="2"/>
  <c r="AN128" i="2"/>
  <c r="AO126" i="2"/>
  <c r="AO127" i="2" s="1"/>
  <c r="AP125" i="2" l="1"/>
  <c r="AO128" i="2"/>
  <c r="AN129" i="2"/>
  <c r="AS121" i="2"/>
  <c r="L57" i="5"/>
  <c r="AR124" i="2"/>
  <c r="AQ125" i="2"/>
  <c r="AO129" i="2" l="1"/>
  <c r="I59" i="5" s="1"/>
  <c r="I62" i="5" s="1"/>
  <c r="AR125" i="2"/>
  <c r="AT121" i="2"/>
  <c r="M57" i="5"/>
  <c r="AS124" i="2"/>
  <c r="H34" i="5"/>
  <c r="H59" i="5"/>
  <c r="H62" i="5" s="1"/>
  <c r="H9" i="5"/>
  <c r="AQ126" i="2"/>
  <c r="AQ127" i="2" s="1"/>
  <c r="AP126" i="2"/>
  <c r="AP127" i="2" s="1"/>
  <c r="I34" i="5" l="1"/>
  <c r="I35" i="5" s="1"/>
  <c r="I36" i="5" s="1"/>
  <c r="I9" i="5"/>
  <c r="I10" i="5" s="1"/>
  <c r="I11" i="5" s="1"/>
  <c r="H35" i="5"/>
  <c r="H36" i="5" s="1"/>
  <c r="AQ128" i="2"/>
  <c r="AP128" i="2"/>
  <c r="AP129" i="2" s="1"/>
  <c r="AS125" i="2"/>
  <c r="H10" i="5"/>
  <c r="N57" i="5"/>
  <c r="AU121" i="2"/>
  <c r="AT124" i="2"/>
  <c r="AR126" i="2"/>
  <c r="AR127" i="2" s="1"/>
  <c r="J34" i="5" l="1"/>
  <c r="J9" i="5"/>
  <c r="J59" i="5"/>
  <c r="J62" i="5" s="1"/>
  <c r="AV121" i="2"/>
  <c r="O57" i="5"/>
  <c r="AU124" i="2"/>
  <c r="I12" i="5"/>
  <c r="I13" i="5" s="1"/>
  <c r="H11" i="5"/>
  <c r="H12" i="5" s="1"/>
  <c r="AR128" i="2"/>
  <c r="H37" i="5"/>
  <c r="I37" i="5"/>
  <c r="I60" i="5" s="1"/>
  <c r="I39" i="5"/>
  <c r="AT125" i="2"/>
  <c r="AS126" i="2"/>
  <c r="AS127" i="2" s="1"/>
  <c r="H39" i="5"/>
  <c r="AQ129" i="2"/>
  <c r="AR129" i="2" l="1"/>
  <c r="L9" i="5" s="1"/>
  <c r="I15" i="5"/>
  <c r="I18" i="5" s="1"/>
  <c r="J35" i="5"/>
  <c r="J36" i="5" s="1"/>
  <c r="J37" i="5" s="1"/>
  <c r="J60" i="5" s="1"/>
  <c r="H60" i="5"/>
  <c r="AS128" i="2"/>
  <c r="AW121" i="2"/>
  <c r="P57" i="5"/>
  <c r="AV124" i="2"/>
  <c r="K34" i="5"/>
  <c r="K9" i="5"/>
  <c r="K59" i="5"/>
  <c r="K62" i="5" s="1"/>
  <c r="AT126" i="2"/>
  <c r="AT127" i="2" s="1"/>
  <c r="H13" i="5"/>
  <c r="H15" i="5" s="1"/>
  <c r="H18" i="5" s="1"/>
  <c r="J10" i="5"/>
  <c r="L34" i="5" l="1"/>
  <c r="L35" i="5" s="1"/>
  <c r="L36" i="5" s="1"/>
  <c r="L59" i="5"/>
  <c r="L62" i="5" s="1"/>
  <c r="AT128" i="2"/>
  <c r="AS129" i="2"/>
  <c r="M34" i="5" s="1"/>
  <c r="J39" i="5"/>
  <c r="AU125" i="2"/>
  <c r="J11" i="5"/>
  <c r="J12" i="5" s="1"/>
  <c r="K35" i="5"/>
  <c r="Q57" i="5"/>
  <c r="AX121" i="2"/>
  <c r="AW124" i="2"/>
  <c r="L10" i="5"/>
  <c r="K10" i="5"/>
  <c r="AT129" i="2" l="1"/>
  <c r="N59" i="5" s="1"/>
  <c r="N62" i="5" s="1"/>
  <c r="M9" i="5"/>
  <c r="M10" i="5" s="1"/>
  <c r="M59" i="5"/>
  <c r="M62" i="5" s="1"/>
  <c r="J13" i="5"/>
  <c r="J15" i="5" s="1"/>
  <c r="J18" i="5" s="1"/>
  <c r="L37" i="5"/>
  <c r="L60" i="5" s="1"/>
  <c r="K36" i="5"/>
  <c r="K37" i="5" s="1"/>
  <c r="K60" i="5" s="1"/>
  <c r="K11" i="5"/>
  <c r="AW125" i="2"/>
  <c r="L39" i="5"/>
  <c r="AY121" i="2"/>
  <c r="R57" i="5"/>
  <c r="AX124" i="2"/>
  <c r="L11" i="5"/>
  <c r="L12" i="5" s="1"/>
  <c r="AV125" i="2"/>
  <c r="M35" i="5"/>
  <c r="M36" i="5" s="1"/>
  <c r="AU126" i="2"/>
  <c r="N34" i="5" l="1"/>
  <c r="N35" i="5" s="1"/>
  <c r="N36" i="5" s="1"/>
  <c r="N9" i="5"/>
  <c r="N10" i="5" s="1"/>
  <c r="N11" i="5" s="1"/>
  <c r="AW126" i="2"/>
  <c r="AW127" i="2" s="1"/>
  <c r="M11" i="5"/>
  <c r="M12" i="5" s="1"/>
  <c r="S57" i="5"/>
  <c r="AY124" i="2"/>
  <c r="K39" i="5"/>
  <c r="M37" i="5"/>
  <c r="M60" i="5" s="1"/>
  <c r="AX125" i="2"/>
  <c r="K12" i="5"/>
  <c r="AV126" i="2"/>
  <c r="AU127" i="2"/>
  <c r="AU128" i="2" s="1"/>
  <c r="L13" i="5"/>
  <c r="L15" i="5" s="1"/>
  <c r="L18" i="5" s="1"/>
  <c r="M39" i="5"/>
  <c r="N12" i="5" l="1"/>
  <c r="N13" i="5" s="1"/>
  <c r="AW128" i="2"/>
  <c r="AW129" i="2" s="1"/>
  <c r="Q59" i="5" s="1"/>
  <c r="Q62" i="5" s="1"/>
  <c r="M13" i="5"/>
  <c r="M15" i="5" s="1"/>
  <c r="M18" i="5" s="1"/>
  <c r="AV127" i="2"/>
  <c r="N39" i="5"/>
  <c r="AU129" i="2"/>
  <c r="K13" i="5"/>
  <c r="K15" i="5" s="1"/>
  <c r="K18" i="5" s="1"/>
  <c r="AX126" i="2"/>
  <c r="N37" i="5"/>
  <c r="N60" i="5" s="1"/>
  <c r="N15" i="5" l="1"/>
  <c r="N18" i="5" s="1"/>
  <c r="Q34" i="5"/>
  <c r="Q35" i="5" s="1"/>
  <c r="Q36" i="5" s="1"/>
  <c r="Q9" i="5"/>
  <c r="Q10" i="5" s="1"/>
  <c r="O9" i="5"/>
  <c r="O59" i="5"/>
  <c r="O62" i="5" s="1"/>
  <c r="O34" i="5"/>
  <c r="AX127" i="2"/>
  <c r="AY125" i="2"/>
  <c r="AV128" i="2"/>
  <c r="Q37" i="5" l="1"/>
  <c r="Q60" i="5" s="1"/>
  <c r="Q11" i="5"/>
  <c r="Q12" i="5" s="1"/>
  <c r="Q39" i="5"/>
  <c r="O35" i="5"/>
  <c r="O36" i="5" s="1"/>
  <c r="O37" i="5" s="1"/>
  <c r="O60" i="5" s="1"/>
  <c r="AX128" i="2"/>
  <c r="AY126" i="2"/>
  <c r="O10" i="5"/>
  <c r="O11" i="5" s="1"/>
  <c r="AV129" i="2"/>
  <c r="O12" i="5" l="1"/>
  <c r="O13" i="5" s="1"/>
  <c r="Q13" i="5"/>
  <c r="Q15" i="5" s="1"/>
  <c r="Q18" i="5" s="1"/>
  <c r="O39" i="5"/>
  <c r="AX129" i="2"/>
  <c r="P9" i="5"/>
  <c r="P34" i="5"/>
  <c r="P59" i="5"/>
  <c r="P62" i="5" s="1"/>
  <c r="AY127" i="2"/>
  <c r="AY128" i="2" s="1"/>
  <c r="P35" i="5" l="1"/>
  <c r="P36" i="5" s="1"/>
  <c r="P39" i="5" s="1"/>
  <c r="R59" i="5"/>
  <c r="R62" i="5" s="1"/>
  <c r="R9" i="5"/>
  <c r="R34" i="5"/>
  <c r="O15" i="5"/>
  <c r="O18" i="5" s="1"/>
  <c r="P10" i="5"/>
  <c r="AY129" i="2"/>
  <c r="S59" i="5" l="1"/>
  <c r="S62" i="5" s="1"/>
  <c r="AN131" i="2"/>
  <c r="S34" i="5"/>
  <c r="S9" i="5"/>
  <c r="P11" i="5"/>
  <c r="R10" i="5"/>
  <c r="R11" i="5" s="1"/>
  <c r="P37" i="5"/>
  <c r="P60" i="5" s="1"/>
  <c r="R35" i="5"/>
  <c r="R36" i="5" s="1"/>
  <c r="R39" i="5" l="1"/>
  <c r="R37" i="5"/>
  <c r="R60" i="5" s="1"/>
  <c r="P12" i="5"/>
  <c r="S35" i="5"/>
  <c r="S36" i="5" s="1"/>
  <c r="S39" i="5" s="1"/>
  <c r="K84" i="2"/>
  <c r="L84" i="2"/>
  <c r="H84" i="2"/>
  <c r="J84" i="2"/>
  <c r="P84" i="2"/>
  <c r="G84" i="2"/>
  <c r="E84" i="2"/>
  <c r="I84" i="2"/>
  <c r="O84" i="2"/>
  <c r="N84" i="2"/>
  <c r="M84" i="2"/>
  <c r="F84" i="2"/>
  <c r="R12" i="5"/>
  <c r="R13" i="5" s="1"/>
  <c r="S10" i="5"/>
  <c r="S11" i="5" s="1"/>
  <c r="R15" i="5" l="1"/>
  <c r="R18" i="5" s="1"/>
  <c r="S37" i="5"/>
  <c r="S12" i="5"/>
  <c r="S13" i="5" s="1"/>
  <c r="P13" i="5"/>
  <c r="P15" i="5" s="1"/>
  <c r="P18" i="5" s="1"/>
  <c r="J86" i="2"/>
  <c r="S15" i="5" l="1"/>
  <c r="S18" i="5" s="1"/>
  <c r="T18" i="5" s="1"/>
  <c r="J99" i="2" s="1"/>
  <c r="S60" i="5"/>
  <c r="H40" i="5"/>
  <c r="H42" i="5" l="1"/>
  <c r="I40" i="5"/>
  <c r="H63" i="5"/>
  <c r="E57" i="5"/>
  <c r="I63" i="5" l="1"/>
  <c r="H65" i="5"/>
  <c r="J40" i="5"/>
  <c r="I42" i="5"/>
  <c r="H75" i="5" l="1"/>
  <c r="J42" i="5"/>
  <c r="K40" i="5"/>
  <c r="J63" i="5"/>
  <c r="I65" i="5"/>
  <c r="I75" i="5" s="1"/>
  <c r="J65" i="5" l="1"/>
  <c r="J75" i="5" s="1"/>
  <c r="K63" i="5"/>
  <c r="K42" i="5"/>
  <c r="L40" i="5"/>
  <c r="L42" i="5" l="1"/>
  <c r="M40" i="5"/>
  <c r="L63" i="5"/>
  <c r="K65" i="5"/>
  <c r="K75" i="5" l="1"/>
  <c r="M63" i="5"/>
  <c r="L65" i="5"/>
  <c r="L75" i="5" s="1"/>
  <c r="N40" i="5"/>
  <c r="M42" i="5"/>
  <c r="N63" i="5" l="1"/>
  <c r="M65" i="5"/>
  <c r="N42" i="5"/>
  <c r="O40" i="5"/>
  <c r="P40" i="5" l="1"/>
  <c r="O42" i="5"/>
  <c r="M75" i="5"/>
  <c r="N65" i="5"/>
  <c r="N75" i="5" s="1"/>
  <c r="O63" i="5"/>
  <c r="P63" i="5" l="1"/>
  <c r="O65" i="5"/>
  <c r="Q40" i="5"/>
  <c r="P42" i="5"/>
  <c r="Q42" i="5" l="1"/>
  <c r="R40" i="5"/>
  <c r="O75" i="5"/>
  <c r="Q63" i="5"/>
  <c r="P65" i="5"/>
  <c r="P75" i="5" s="1"/>
  <c r="R42" i="5" l="1"/>
  <c r="S40" i="5"/>
  <c r="S42" i="5" s="1"/>
  <c r="R63" i="5"/>
  <c r="Q65" i="5"/>
  <c r="Q75" i="5" s="1"/>
  <c r="T42" i="5" l="1"/>
  <c r="J100" i="2" s="1"/>
  <c r="R65" i="5"/>
  <c r="R75" i="5" s="1"/>
  <c r="S63" i="5"/>
  <c r="S65" i="5" s="1"/>
  <c r="S75" i="5" l="1"/>
  <c r="T75" i="5" s="1"/>
  <c r="T65" i="5"/>
  <c r="J101" i="2" s="1"/>
  <c r="J102" i="2" s="1"/>
  <c r="J10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Klint</author>
  </authors>
  <commentList>
    <comment ref="P123" authorId="0" shapeId="0" xr:uid="{00000000-0006-0000-0300-000001000000}">
      <text>
        <r>
          <rPr>
            <b/>
            <sz val="9"/>
            <color indexed="81"/>
            <rFont val="Tahoma"/>
            <family val="2"/>
          </rPr>
          <t>Klint:</t>
        </r>
        <r>
          <rPr>
            <sz val="9"/>
            <color indexed="81"/>
            <rFont val="Tahoma"/>
            <family val="2"/>
          </rPr>
          <t xml:space="preserve">
2.9 feet per year irrigtion</t>
        </r>
      </text>
    </comment>
  </commentList>
</comments>
</file>

<file path=xl/sharedStrings.xml><?xml version="1.0" encoding="utf-8"?>
<sst xmlns="http://schemas.openxmlformats.org/spreadsheetml/2006/main" count="408" uniqueCount="279">
  <si>
    <t>Single Family Residence Water Budget Questionnaire</t>
  </si>
  <si>
    <t>Calculated Indoor Water Use Budget (Gallons Per Year):</t>
  </si>
  <si>
    <t>Answer Questions 3 - 4 Which Are Used to Estimate Potentially Available Landscape Area</t>
  </si>
  <si>
    <t>Calculated Roof, Driveway, Walkway Areas (Square Feet):</t>
  </si>
  <si>
    <t>Calculated Remaining Area Potentially Available for Landscaping (Square Fee):</t>
  </si>
  <si>
    <t>Calculated Landscape Water Use Budget (Gallons Per Year):</t>
  </si>
  <si>
    <t>Summary of Water Use Budgets</t>
  </si>
  <si>
    <t>Indoor Water Use Budget (Gallons Per Year)</t>
  </si>
  <si>
    <t>Landscape Water Use Budget (Gallons Per Year</t>
  </si>
  <si>
    <t>Request for Additional Miscellaneous Water Use Budget (Gallons Per Year)</t>
  </si>
  <si>
    <t>Total Water Budget (Gallons Per Year)</t>
  </si>
  <si>
    <t>Single Family Equivalent (SFE)  = Allocated Budget / Budget of Typical Single Family Unit</t>
  </si>
  <si>
    <r>
      <t xml:space="preserve">Single Family Residence </t>
    </r>
    <r>
      <rPr>
        <u/>
        <sz val="14"/>
        <rFont val="Calibri"/>
        <family val="2"/>
        <scheme val="minor"/>
      </rPr>
      <t>Water</t>
    </r>
    <r>
      <rPr>
        <sz val="14"/>
        <rFont val="Calibri"/>
        <family val="2"/>
        <scheme val="minor"/>
      </rPr>
      <t xml:space="preserve"> Service Tap Fee</t>
    </r>
  </si>
  <si>
    <t>SFE</t>
  </si>
  <si>
    <t>Tier 1</t>
  </si>
  <si>
    <t>Tier 2</t>
  </si>
  <si>
    <t>Tier 3</t>
  </si>
  <si>
    <t>Tier 4</t>
  </si>
  <si>
    <t>Total Charge
$/Tap</t>
  </si>
  <si>
    <r>
      <t xml:space="preserve">Single Family Residence </t>
    </r>
    <r>
      <rPr>
        <u/>
        <sz val="14"/>
        <rFont val="Calibri"/>
        <family val="2"/>
        <scheme val="minor"/>
      </rPr>
      <t>Wastewater</t>
    </r>
    <r>
      <rPr>
        <sz val="14"/>
        <rFont val="Calibri"/>
        <family val="2"/>
        <scheme val="minor"/>
      </rPr>
      <t xml:space="preserve"> Service Tap Fee</t>
    </r>
  </si>
  <si>
    <t>Sky Ranch Single Family Residence Water &amp; Wastewater Monthly Service Rates</t>
  </si>
  <si>
    <t>Water Rates</t>
  </si>
  <si>
    <t/>
  </si>
  <si>
    <t>Wastewater Rates</t>
  </si>
  <si>
    <t>Monthly Administrative Charge:</t>
  </si>
  <si>
    <t>Wastewater Use Rate:</t>
  </si>
  <si>
    <t>per kgal</t>
  </si>
  <si>
    <t>Sky Ranch Single Family Residence Example Monthly / Annual Service Costs</t>
  </si>
  <si>
    <t>Hypothetical water use as a percentage of the household water budget =</t>
  </si>
  <si>
    <t>Jan</t>
  </si>
  <si>
    <t>Feb</t>
  </si>
  <si>
    <t>Mar</t>
  </si>
  <si>
    <t>Apr</t>
  </si>
  <si>
    <t>May</t>
  </si>
  <si>
    <t>Jun</t>
  </si>
  <si>
    <t>Jul</t>
  </si>
  <si>
    <t>Aug</t>
  </si>
  <si>
    <t>Sep</t>
  </si>
  <si>
    <t>Oct</t>
  </si>
  <si>
    <t>Nov</t>
  </si>
  <si>
    <t>Dec</t>
  </si>
  <si>
    <t>Water Charge</t>
  </si>
  <si>
    <t>Wastewater Charge</t>
  </si>
  <si>
    <t>Total Charge</t>
  </si>
  <si>
    <t>Total Annual Cost of Service:</t>
  </si>
  <si>
    <t>Notes:</t>
  </si>
  <si>
    <t>ECCV Annual Cost of Service:</t>
  </si>
  <si>
    <t>PWSD Annual Cost of Service:</t>
  </si>
  <si>
    <t>TCR Annual Cost of Service:</t>
  </si>
  <si>
    <t>Average</t>
  </si>
  <si>
    <t>RMD % of Average:</t>
  </si>
  <si>
    <t>ECCV Water and Wastewater Tap Fee Cost:</t>
  </si>
  <si>
    <t>PWSD Water and Wastewater Tap Fee Cost:</t>
  </si>
  <si>
    <t>TCR Water and Wastewater Tap Fee Cost:</t>
  </si>
  <si>
    <t>Assumed Average</t>
  </si>
  <si>
    <t>Indoor Water Budget Lookup Table</t>
  </si>
  <si>
    <t>Indoor Water Use</t>
  </si>
  <si>
    <t>Garage + Driveway Area</t>
  </si>
  <si>
    <t>Outdoor Water Use Rates</t>
  </si>
  <si>
    <t>Water Use Used in Tap Fee Charges</t>
  </si>
  <si>
    <t>Single Family Equivalent</t>
  </si>
  <si>
    <t>Sewer Charge</t>
  </si>
  <si>
    <t>Indoor  Use</t>
  </si>
  <si>
    <t>Indoor</t>
  </si>
  <si>
    <t>Assumed Avg</t>
  </si>
  <si>
    <t>Tier</t>
  </si>
  <si>
    <t>$/SFE</t>
  </si>
  <si>
    <t>gpd/SFE</t>
  </si>
  <si>
    <t>$/gpd</t>
  </si>
  <si>
    <t>Finished</t>
  </si>
  <si>
    <t>#</t>
  </si>
  <si>
    <t>Per Person</t>
  </si>
  <si>
    <t>Budget</t>
  </si>
  <si>
    <t>Indoor Use</t>
  </si>
  <si>
    <t>gpd/1000 SF</t>
  </si>
  <si>
    <t>Areas</t>
  </si>
  <si>
    <t>Demand</t>
  </si>
  <si>
    <t>Max Day</t>
  </si>
  <si>
    <t>Indoor Budget (1000 gal)</t>
  </si>
  <si>
    <t>Square Ft</t>
  </si>
  <si>
    <t>Residents</t>
  </si>
  <si>
    <t>(gal/day)</t>
  </si>
  <si>
    <t>(gal/yr)</t>
  </si>
  <si>
    <t># Car Slots</t>
  </si>
  <si>
    <t>Landscape Type</t>
  </si>
  <si>
    <t>Usage</t>
  </si>
  <si>
    <t>gpy</t>
  </si>
  <si>
    <t>AFY</t>
  </si>
  <si>
    <t>Water Use Category</t>
  </si>
  <si>
    <t>gpm</t>
  </si>
  <si>
    <t>(AFY)</t>
  </si>
  <si>
    <t>Ratio</t>
  </si>
  <si>
    <t>Outdoor Budget (%)</t>
  </si>
  <si>
    <t>Grass Landscape</t>
  </si>
  <si>
    <t xml:space="preserve">Avg Indoor Use </t>
  </si>
  <si>
    <t>Outdoor Budget (1000 gal)</t>
  </si>
  <si>
    <t>Xeriscape Landscape</t>
  </si>
  <si>
    <t>Base Outdoor Use</t>
  </si>
  <si>
    <t>Total Budget (1000 gal)</t>
  </si>
  <si>
    <t>Requested Additional Budget</t>
  </si>
  <si>
    <t>Tier 1 Actual Use</t>
  </si>
  <si>
    <t>Total Avg Use</t>
  </si>
  <si>
    <t>Tier 2 Actual Use</t>
  </si>
  <si>
    <t>Tier 3 Actual Use</t>
  </si>
  <si>
    <t>Unit Conversion:</t>
  </si>
  <si>
    <t>Gallons in 1 Acre-Ft</t>
  </si>
  <si>
    <t>Tier 4 Actual Use</t>
  </si>
  <si>
    <t>Total Use</t>
  </si>
  <si>
    <t>Average Winter Use</t>
  </si>
  <si>
    <t>TABLE A4: SYSTEM DEVELOPMENT FEE CALCULATION PROCESS (with example) USING WATER BUDGET METHODOLOGY</t>
  </si>
  <si>
    <t>Version: March 12, 2017</t>
  </si>
  <si>
    <t>Step 1: Complete Questionnaire</t>
  </si>
  <si>
    <t>Step 2: Calculate Water Budgets</t>
  </si>
  <si>
    <t>Step 3: Calculate Typical Water Use</t>
  </si>
  <si>
    <t>Step 4: Calculate System Development Charges</t>
  </si>
  <si>
    <t>&amp; System Capacity Needs</t>
  </si>
  <si>
    <t>1a: Indoor Water Use Information</t>
  </si>
  <si>
    <t>2a: Indoor Annual Budget</t>
  </si>
  <si>
    <t>3a: Long-Term Avg. Indoor Water Use</t>
  </si>
  <si>
    <t>4a: Water Resources Charge</t>
  </si>
  <si>
    <t xml:space="preserve"> - Size of Lot</t>
  </si>
  <si>
    <t>gpy(2)</t>
  </si>
  <si>
    <t>afy(3)</t>
  </si>
  <si>
    <t>gpy(5)</t>
  </si>
  <si>
    <t>afy</t>
  </si>
  <si>
    <t>Total Annual Water Use (afy) X Water Resources Cost ($/afy)</t>
  </si>
  <si>
    <t xml:space="preserve"> - Finished Square Feet of Dwelling</t>
  </si>
  <si>
    <t>X</t>
  </si>
  <si>
    <t>=</t>
  </si>
  <si>
    <t>1b: Outdoor Water Use Information</t>
  </si>
  <si>
    <t>2b: Outdoor Annual Budget</t>
  </si>
  <si>
    <t>3b: Long-Term Avg. Total Water Use</t>
  </si>
  <si>
    <t>4b: Water System Charge</t>
  </si>
  <si>
    <t xml:space="preserve"> - Finished Square Feet of 1st Floor</t>
  </si>
  <si>
    <t>gpy(4)</t>
  </si>
  <si>
    <t>Max Day Capacity Need (gpm) X Water System Cost ($/gpm)</t>
  </si>
  <si>
    <t xml:space="preserve"> - Number of Garage Stalls</t>
  </si>
  <si>
    <t>Calculated Landscape Area(1)</t>
  </si>
  <si>
    <t>2c: Total Annual Budget</t>
  </si>
  <si>
    <t>3c: Water System Capacity Needs</t>
  </si>
  <si>
    <t xml:space="preserve">4c: Fire Flow Capacity </t>
  </si>
  <si>
    <t xml:space="preserve"> - % Landscape Area Non-Irrigated</t>
  </si>
  <si>
    <t>Fire Flow</t>
  </si>
  <si>
    <t xml:space="preserve"> - % Landscape Area Drip Irrigation</t>
  </si>
  <si>
    <t>gpm (6)</t>
  </si>
  <si>
    <t>gpm (7)</t>
  </si>
  <si>
    <t xml:space="preserve"> - % Landscape Area Grass</t>
  </si>
  <si>
    <t>4d: Total Water Development Charges</t>
  </si>
  <si>
    <t>1c: Fire Flow Capacity Information</t>
  </si>
  <si>
    <t>3d: Wastewater System Capacity Needs</t>
  </si>
  <si>
    <t>4e: Wastewater System Charge</t>
  </si>
  <si>
    <t xml:space="preserve"> - Total Square Feet of Dwelling</t>
  </si>
  <si>
    <t>Long-Term Avg Indoor Water Use</t>
  </si>
  <si>
    <t>Indoor Water Use (gpd) X Wastewater System Cost ($/gpd)</t>
  </si>
  <si>
    <t>gpd (8)</t>
  </si>
  <si>
    <t>4f: Total System Development Charge</t>
  </si>
  <si>
    <t>(1) Considers Total Lot Area - 1st Floor Square Footage - 680 square feet for two car stalls or 1040 square feet for three car stalls.</t>
  </si>
  <si>
    <t>(2) gpy = gallons per year. Indoor water budget assumes 55 gallons per resident and 3, 4, or 5 residents per dwelling for dwellings with finished areas</t>
  </si>
  <si>
    <t xml:space="preserve">      of less than 2000 sf, greater than 2000 sf and less than 3500 sf, and greater than 3500 sf (respectively). </t>
  </si>
  <si>
    <t>(3) afy = acre-feet per year, where 325,893 gallons equals 1 afy</t>
  </si>
  <si>
    <t>(4) Assumes 60 gallons per day per 1000 square feet for grass and 20 gallons per day per 1000 square feet of drip.</t>
  </si>
  <si>
    <t>(5) Long-Term average actual indoor water use assumes 2.5, 3.2, or 3.75 residents per dwelling for dwellings with finished areas</t>
  </si>
  <si>
    <t xml:space="preserve">       of less than 2000 sf, greater than 2000 sf and less than 3500 sf, and greater than 3500 sf (respectively). </t>
  </si>
  <si>
    <t>(6) gpm = gallons per minute. Max day gpm = Total Annual Budget (gpy) / 366 days per year / 1440 minutes per day x 2.25 Max Day Factor.</t>
  </si>
  <si>
    <t>(7) Tier 1 Fire Flow is between 1,000 gpm and 1,500 gpm and if for dwelling units with less than 3,800 total square feet. Tier 2, 3 4 fire flows are vary based on dwelling size and construction material.</t>
  </si>
  <si>
    <t>(8) gpd = gallons per day. Average Indoor gpd = gpy/366 days</t>
  </si>
  <si>
    <t>(9) A typical single family residential unit is assumed to utilize 0.4 afy of total water, have a max day flow rate of 0.55 gpm, and an indoor average water use of 176 gpd.</t>
  </si>
  <si>
    <t xml:space="preserve">(10) Monthly distribution of the annual indoor water budget is 8.3% per month.  </t>
  </si>
  <si>
    <t>(11) Monthly distribution of the annual outdoor water budget is: 1% for March, 7% for April, 14% for May, 20% for June, 18% for August, 12% for September, 7% for October, 1% for November</t>
  </si>
  <si>
    <t>ECCV Fixed Monthly Water Rates</t>
  </si>
  <si>
    <t>Rate</t>
  </si>
  <si>
    <t>Fees</t>
  </si>
  <si>
    <t>$/kgal</t>
  </si>
  <si>
    <t>gallons</t>
  </si>
  <si>
    <t>Total</t>
  </si>
  <si>
    <t>Tier 1 Actual Use (kgal)</t>
  </si>
  <si>
    <t>Tier 2 Actual Use (kgal)</t>
  </si>
  <si>
    <t>Tier 3 Actual Use (kgal)</t>
  </si>
  <si>
    <t>Tier 4 Actual Use (kgal)</t>
  </si>
  <si>
    <t>Tier 5</t>
  </si>
  <si>
    <t>Tier 5 Actual Use (kgal)</t>
  </si>
  <si>
    <t>Monthly Water Charges</t>
  </si>
  <si>
    <t>Monthy Wastewater Charge</t>
  </si>
  <si>
    <t>Wastewater Charge $/kgal</t>
  </si>
  <si>
    <t>W/WW Property Tax</t>
  </si>
  <si>
    <t>ECCV Mills (property tax)*:</t>
  </si>
  <si>
    <t>Typical Value of ECCV Home**:</t>
  </si>
  <si>
    <t>Assessment Percentage in Douglas County**:</t>
  </si>
  <si>
    <t>Typical Assessed Value**:</t>
  </si>
  <si>
    <t>Property Tax toECCV:</t>
  </si>
  <si>
    <t>*http://parcelsearch.arapahoegov.com/Levy.aspx?id=1248528&amp;auth=0479</t>
  </si>
  <si>
    <t>**https://www.zillow.com/homes/for_sale/13115614_zpid/globalrelevanceex_sort/39.636266,-104.740605,39.583763,-104.795537_rect/13_zm/</t>
  </si>
  <si>
    <t>PWSD Fixed Monthly Water Rates</t>
  </si>
  <si>
    <t>Tota Use</t>
  </si>
  <si>
    <t>PWSD Mills (property tax)*:</t>
  </si>
  <si>
    <t>Typical Value of PWSD Home**:</t>
  </si>
  <si>
    <t>Assessment Percentage in Douglas County*:</t>
  </si>
  <si>
    <t>Tpical Assessed Value:</t>
  </si>
  <si>
    <t>Property Tax to PWSD:</t>
  </si>
  <si>
    <t>*www.parkeronline.org/257/Property-Tax</t>
  </si>
  <si>
    <t>**https://www.zillow.com/homes/Castle-Rock-CO_rb/</t>
  </si>
  <si>
    <t>TCR Fixed Monthly Water Rates</t>
  </si>
  <si>
    <t>Block 1</t>
  </si>
  <si>
    <t>Block 1 Actual Use (kgal)</t>
  </si>
  <si>
    <t>Block 2</t>
  </si>
  <si>
    <t>Irrigation Budget</t>
  </si>
  <si>
    <t>Block 2 Actual Use (kgal)</t>
  </si>
  <si>
    <t>Block 3</t>
  </si>
  <si>
    <t>Over Budget</t>
  </si>
  <si>
    <t>Block 3 Actual Use (kgal)</t>
  </si>
  <si>
    <t>TCR Mills to Water (property tax)*:</t>
  </si>
  <si>
    <t>Typical Value of TCR Home**:</t>
  </si>
  <si>
    <t>Typical Assessed Value:</t>
  </si>
  <si>
    <t>Property Tax to TCR:</t>
  </si>
  <si>
    <t>*http://apps.douglas.co.us/assessor/web/#/details/2017/R0390550</t>
  </si>
  <si>
    <t>ECCV,PWSD, TCR Average:</t>
  </si>
  <si>
    <t>ECCV</t>
  </si>
  <si>
    <t>Water Flat Fee for Single Family:</t>
  </si>
  <si>
    <t>Local Sewer Fee:</t>
  </si>
  <si>
    <t>Metro Wastewater Sewer Fee:</t>
  </si>
  <si>
    <t>Total Sewer:</t>
  </si>
  <si>
    <t>ECCV Total Tap Fee:</t>
  </si>
  <si>
    <t>PWSD</t>
  </si>
  <si>
    <t>Drinking Water System Fee:</t>
  </si>
  <si>
    <t>Water Supply System Fee:</t>
  </si>
  <si>
    <t>Water Supply Acquistion Fee:</t>
  </si>
  <si>
    <t>Other Fees:</t>
  </si>
  <si>
    <t>Sewer Tap Fee:</t>
  </si>
  <si>
    <t>PWSD Total Tap Fee:</t>
  </si>
  <si>
    <t>TCR</t>
  </si>
  <si>
    <t>Water Resources Fee:</t>
  </si>
  <si>
    <t>TCR Total Tap Fee:</t>
  </si>
  <si>
    <t>TAP CALCULATOR</t>
  </si>
  <si>
    <t>Date:</t>
  </si>
  <si>
    <t>Property Address:</t>
  </si>
  <si>
    <t>Property Owner or Agent's Phone Number:</t>
  </si>
  <si>
    <t>Property Owner or Agent's Email Address:</t>
  </si>
  <si>
    <t>Property Owner or Agent's Name:</t>
  </si>
  <si>
    <r>
      <rPr>
        <b/>
        <sz val="11"/>
        <color theme="1"/>
        <rFont val="Calibri"/>
        <family val="2"/>
        <scheme val="minor"/>
      </rPr>
      <t xml:space="preserve">Input </t>
    </r>
    <r>
      <rPr>
        <sz val="11"/>
        <color theme="1"/>
        <rFont val="Calibri"/>
        <family val="2"/>
        <scheme val="minor"/>
      </rPr>
      <t>2: Enter Total Finished Area of Home (Square Feet):</t>
    </r>
  </si>
  <si>
    <r>
      <rPr>
        <b/>
        <sz val="11"/>
        <color theme="1"/>
        <rFont val="Calibri"/>
        <family val="2"/>
        <scheme val="minor"/>
      </rPr>
      <t>Input 3</t>
    </r>
    <r>
      <rPr>
        <sz val="11"/>
        <color theme="1"/>
        <rFont val="Calibri"/>
        <family val="2"/>
        <scheme val="minor"/>
      </rPr>
      <t>: Enter 1st Floor Finished Area (Square Feet):</t>
    </r>
  </si>
  <si>
    <r>
      <rPr>
        <b/>
        <sz val="11"/>
        <color theme="1"/>
        <rFont val="Calibri"/>
        <family val="2"/>
        <scheme val="minor"/>
      </rPr>
      <t>Input 4</t>
    </r>
    <r>
      <rPr>
        <sz val="11"/>
        <color theme="1"/>
        <rFont val="Calibri"/>
        <family val="2"/>
        <scheme val="minor"/>
      </rPr>
      <t>: Enter Number of Garage Stalls (#):</t>
    </r>
  </si>
  <si>
    <r>
      <rPr>
        <b/>
        <sz val="11"/>
        <color theme="1"/>
        <rFont val="Calibri"/>
        <family val="2"/>
        <scheme val="minor"/>
      </rPr>
      <t>Input 5</t>
    </r>
    <r>
      <rPr>
        <sz val="11"/>
        <color theme="1"/>
        <rFont val="Calibri"/>
        <family val="2"/>
        <scheme val="minor"/>
      </rPr>
      <t>: % of Available Landscape Area with No Water Use (Rocks, Patio, Concrete, Etc.):</t>
    </r>
  </si>
  <si>
    <r>
      <rPr>
        <b/>
        <sz val="11"/>
        <color theme="1"/>
        <rFont val="Calibri"/>
        <family val="2"/>
        <scheme val="minor"/>
      </rPr>
      <t xml:space="preserve">Input </t>
    </r>
    <r>
      <rPr>
        <sz val="11"/>
        <color theme="1"/>
        <rFont val="Calibri"/>
        <family val="2"/>
        <scheme val="minor"/>
      </rPr>
      <t>6: % of Available Landscape Area with Xeriscape Type Landscape (Mulch with Shrubs, Etc.):</t>
    </r>
  </si>
  <si>
    <r>
      <rPr>
        <b/>
        <sz val="11"/>
        <color theme="1"/>
        <rFont val="Calibri"/>
        <family val="2"/>
        <scheme val="minor"/>
      </rPr>
      <t>Input 7</t>
    </r>
    <r>
      <rPr>
        <sz val="11"/>
        <color theme="1"/>
        <rFont val="Calibri"/>
        <family val="2"/>
        <scheme val="minor"/>
      </rPr>
      <t>: % of Available Landscape Area with Irrigated Lawn/Grass:</t>
    </r>
  </si>
  <si>
    <r>
      <rPr>
        <b/>
        <sz val="11"/>
        <color theme="1"/>
        <rFont val="Calibri"/>
        <family val="2"/>
        <scheme val="minor"/>
      </rPr>
      <t>Input 1</t>
    </r>
    <r>
      <rPr>
        <sz val="11"/>
        <color theme="1"/>
        <rFont val="Calibri"/>
        <family val="2"/>
        <scheme val="minor"/>
      </rPr>
      <t>: Enter Lot Size Including Irrigated Right-of Way Space (Square Feet):</t>
    </r>
  </si>
  <si>
    <t>Water &amp; Wastewater "Tap" Purchase Agreement</t>
  </si>
  <si>
    <t>Assessor's Parcel Number:</t>
  </si>
  <si>
    <t xml:space="preserve">Calculated SFE, Water, &amp; Wastewater Tap Fees </t>
  </si>
  <si>
    <t>From Submitted Application &amp; Tap Calculator</t>
  </si>
  <si>
    <t>Water SFE for Property:</t>
  </si>
  <si>
    <t>Wastewater Tap Fee:</t>
  </si>
  <si>
    <t>Total Water &amp; Wastewater Tap Fees:</t>
  </si>
  <si>
    <t xml:space="preserve">Please review the tap fees listed above and the anticipated water and wastewater monthly service rates shown in </t>
  </si>
  <si>
    <t>Meter Set Fee:</t>
  </si>
  <si>
    <t>Service Line Inspection Fee:</t>
  </si>
  <si>
    <t xml:space="preserve">Monthly Base Charge: </t>
  </si>
  <si>
    <t>Water Use Rate:</t>
  </si>
  <si>
    <t>See table below</t>
  </si>
  <si>
    <t>Monthly Potable Water Use Rates</t>
  </si>
  <si>
    <t>Fee/Charge</t>
  </si>
  <si>
    <t>Amount</t>
  </si>
  <si>
    <t>0 - 15,000 gallons</t>
  </si>
  <si>
    <t>per 1000 gallons</t>
  </si>
  <si>
    <t>&gt;30,000 gallons</t>
  </si>
  <si>
    <t>15,000 - 30,000 gallons</t>
  </si>
  <si>
    <t>Potable Water Use (1000 gallons)</t>
  </si>
  <si>
    <t>Thewater budget provided below is an estimate of the possible water use and the associated costs for a lot in Sky Ranch based on average water use</t>
  </si>
  <si>
    <t xml:space="preserve"> and average landscaping plans. However, heavy watering of landscaping or extended use of indoor plumbing fixtures (such as showers) could result </t>
  </si>
  <si>
    <t>actual water use.</t>
  </si>
  <si>
    <t>in a household using more water than the amount shown. To test the sensitivity of monthly and annual service costs please enter different assumptions for</t>
  </si>
  <si>
    <t>Sky Ranch Filing Number:</t>
  </si>
  <si>
    <t xml:space="preserve">           Detached Single-Family Residential Product</t>
  </si>
  <si>
    <t>Water Tap Fee:</t>
  </si>
  <si>
    <t xml:space="preserve">the attached tap calculator. Through payment of the tap fee, the Owner or the Owner's Agent acknowledges the tap </t>
  </si>
  <si>
    <t xml:space="preserve">fees and anticipated monthly service rates associated with obtaining water and sewer service at the above listed </t>
  </si>
  <si>
    <t>property.</t>
  </si>
  <si>
    <t xml:space="preserve">Payment for this Water &amp; Wastewater Tap Fee can be made via electronic fund transfer to Rangeview Metropolitan </t>
  </si>
  <si>
    <t>District. Contact Pure Cycle for transfer instructions.</t>
  </si>
  <si>
    <t>Watkins, CO 80137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</si>
</sst>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0.000"/>
    <numFmt numFmtId="166" formatCode="&quot;$&quot;#,##0"/>
    <numFmt numFmtId="167" formatCode="&quot;$&quot;#,##0.00"/>
    <numFmt numFmtId="168" formatCode="&quot;$&quot;#.00&quot; per 1000 gallons&quot;"/>
    <numFmt numFmtId="169" formatCode="General&quot; sf&quot;"/>
    <numFmt numFmtId="170" formatCode="&quot;(&quot;0.00&quot; afy)&quot;"/>
    <numFmt numFmtId="171" formatCode="&quot;(&quot;&quot;$&quot;#,##0.00_)&quot;/afy)&quot;"/>
    <numFmt numFmtId="172" formatCode="&quot;(&quot;0.00&quot; gpm)&quot;"/>
    <numFmt numFmtId="173" formatCode="&quot;(&quot;&quot;$&quot;#,##0.00_)&quot;/gpm)&quot;"/>
    <numFmt numFmtId="174" formatCode="&quot;at &quot;&quot;$&quot;#,##0.00_)"/>
    <numFmt numFmtId="175" formatCode="&quot;(&quot;0.00&quot; gpd)&quot;"/>
    <numFmt numFmtId="176" formatCode="General&quot; -&quot;"/>
    <numFmt numFmtId="177" formatCode="General&quot; +&quot;"/>
    <numFmt numFmtId="178" formatCode="0.0%"/>
    <numFmt numFmtId="179" formatCode="_(* #,##0_);_(* \(#,##0\);_(* &quot;-&quot;??_);_(@_)"/>
    <numFmt numFmtId="180" formatCode="_(&quot;$&quot;* #,##0_);_(&quot;$&quot;* \(#,##0\);_(&quot;$&quot;* &quot;-&quot;??_);_(@_)"/>
  </numFmts>
  <fonts count="19" x14ac:knownFonts="1">
    <font>
      <sz val="11"/>
      <color theme="1"/>
      <name val="Calibri"/>
      <family val="2"/>
      <scheme val="minor"/>
    </font>
    <font>
      <sz val="14"/>
      <name val="Calibri"/>
      <family val="2"/>
      <scheme val="minor"/>
    </font>
    <font>
      <sz val="11"/>
      <color theme="1"/>
      <name val="Calibri"/>
      <family val="2"/>
      <scheme val="minor"/>
    </font>
    <font>
      <sz val="9"/>
      <color indexed="81"/>
      <name val="Tahoma"/>
      <family val="2"/>
    </font>
    <font>
      <b/>
      <sz val="9"/>
      <color indexed="81"/>
      <name val="Tahoma"/>
      <family val="2"/>
    </font>
    <font>
      <sz val="11"/>
      <name val="Calibri"/>
      <family val="2"/>
      <scheme val="minor"/>
    </font>
    <font>
      <u/>
      <sz val="11"/>
      <color theme="1"/>
      <name val="Calibri"/>
      <family val="2"/>
      <scheme val="minor"/>
    </font>
    <font>
      <b/>
      <sz val="11"/>
      <color theme="1"/>
      <name val="Calibri"/>
      <family val="2"/>
      <scheme val="minor"/>
    </font>
    <font>
      <u/>
      <sz val="14"/>
      <name val="Calibri"/>
      <family val="2"/>
      <scheme val="minor"/>
    </font>
    <font>
      <b/>
      <sz val="11"/>
      <color theme="0"/>
      <name val="Calibri"/>
      <family val="2"/>
      <scheme val="minor"/>
    </font>
    <font>
      <b/>
      <sz val="20"/>
      <color theme="4"/>
      <name val="Calibri"/>
      <family val="2"/>
      <scheme val="minor"/>
    </font>
    <font>
      <b/>
      <sz val="20"/>
      <name val="Calibri"/>
      <family val="2"/>
      <scheme val="minor"/>
    </font>
    <font>
      <sz val="16"/>
      <color theme="1"/>
      <name val="Calibri"/>
      <family val="2"/>
      <scheme val="minor"/>
    </font>
    <font>
      <sz val="16"/>
      <name val="Calibri"/>
      <family val="2"/>
      <scheme val="minor"/>
    </font>
    <font>
      <sz val="14"/>
      <color theme="1"/>
      <name val="Calibri"/>
      <family val="2"/>
      <scheme val="minor"/>
    </font>
    <font>
      <b/>
      <sz val="14"/>
      <color theme="0"/>
      <name val="Calibri"/>
      <family val="2"/>
      <scheme val="minor"/>
    </font>
    <font>
      <u/>
      <sz val="14"/>
      <color theme="1"/>
      <name val="Calibri"/>
      <family val="2"/>
      <scheme val="minor"/>
    </font>
    <font>
      <b/>
      <sz val="14"/>
      <color theme="1"/>
      <name val="Calibri"/>
      <family val="2"/>
      <scheme val="minor"/>
    </font>
    <font>
      <b/>
      <sz val="12"/>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0" tint="-0.499984740745262"/>
        <bgColor indexed="64"/>
      </patternFill>
    </fill>
    <fill>
      <patternFill patternType="solid">
        <fgColor theme="4" tint="0.59999389629810485"/>
        <bgColor indexed="64"/>
      </patternFill>
    </fill>
  </fills>
  <borders count="57">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auto="1"/>
      </bottom>
      <diagonal/>
    </border>
    <border>
      <left/>
      <right/>
      <top/>
      <bottom style="medium">
        <color auto="1"/>
      </bottom>
      <diagonal/>
    </border>
    <border>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bottom style="medium">
        <color auto="1"/>
      </bottom>
      <diagonal/>
    </border>
    <border>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thin">
        <color theme="0"/>
      </left>
      <right style="thin">
        <color theme="0"/>
      </right>
      <top style="thin">
        <color indexed="64"/>
      </top>
      <bottom style="thin">
        <color theme="0"/>
      </bottom>
      <diagonal/>
    </border>
    <border>
      <left/>
      <right style="thin">
        <color theme="0"/>
      </right>
      <top style="thin">
        <color theme="0"/>
      </top>
      <bottom/>
      <diagonal/>
    </border>
    <border>
      <left/>
      <right/>
      <top style="thin">
        <color theme="0"/>
      </top>
      <bottom style="thin">
        <color theme="0"/>
      </bottom>
      <diagonal/>
    </border>
    <border>
      <left style="thin">
        <color theme="0"/>
      </left>
      <right style="thin">
        <color theme="0"/>
      </right>
      <top style="medium">
        <color theme="0"/>
      </top>
      <bottom style="thin">
        <color theme="0"/>
      </bottom>
      <diagonal/>
    </border>
    <border>
      <left style="thin">
        <color theme="0"/>
      </left>
      <right/>
      <top style="thin">
        <color theme="0"/>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style="medium">
        <color auto="1"/>
      </bottom>
      <diagonal/>
    </border>
    <border>
      <left style="thin">
        <color theme="0"/>
      </left>
      <right/>
      <top/>
      <bottom style="thin">
        <color theme="0"/>
      </bottom>
      <diagonal/>
    </border>
    <border>
      <left style="thin">
        <color theme="0"/>
      </left>
      <right style="thin">
        <color theme="0"/>
      </right>
      <top/>
      <bottom/>
      <diagonal/>
    </border>
    <border>
      <left style="thin">
        <color auto="1"/>
      </left>
      <right style="thin">
        <color auto="1"/>
      </right>
      <top style="thin">
        <color auto="1"/>
      </top>
      <bottom style="thin">
        <color auto="1"/>
      </bottom>
      <diagonal/>
    </border>
    <border>
      <left/>
      <right style="thin">
        <color theme="0"/>
      </right>
      <top/>
      <bottom style="thin">
        <color theme="0"/>
      </bottom>
      <diagonal/>
    </border>
    <border>
      <left style="thin">
        <color auto="1"/>
      </left>
      <right/>
      <top style="thin">
        <color auto="1"/>
      </top>
      <bottom style="thin">
        <color auto="1"/>
      </bottom>
      <diagonal/>
    </border>
    <border>
      <left style="thin">
        <color theme="0"/>
      </left>
      <right/>
      <top/>
      <bottom/>
      <diagonal/>
    </border>
    <border>
      <left/>
      <right/>
      <top/>
      <bottom style="thin">
        <color theme="0"/>
      </bottom>
      <diagonal/>
    </border>
    <border>
      <left/>
      <right/>
      <top style="thin">
        <color auto="1"/>
      </top>
      <bottom/>
      <diagonal/>
    </border>
    <border>
      <left/>
      <right/>
      <top/>
      <bottom style="double">
        <color auto="1"/>
      </bottom>
      <diagonal/>
    </border>
    <border>
      <left style="medium">
        <color theme="0"/>
      </left>
      <right/>
      <top style="medium">
        <color theme="0"/>
      </top>
      <bottom style="medium">
        <color theme="0"/>
      </bottom>
      <diagonal/>
    </border>
    <border>
      <left style="thin">
        <color theme="0"/>
      </left>
      <right/>
      <top style="medium">
        <color theme="0"/>
      </top>
      <bottom style="thin">
        <color theme="0"/>
      </bottom>
      <diagonal/>
    </border>
    <border>
      <left style="medium">
        <color indexed="64"/>
      </left>
      <right style="medium">
        <color indexed="64"/>
      </right>
      <top style="medium">
        <color indexed="64"/>
      </top>
      <bottom style="medium">
        <color indexed="64"/>
      </bottom>
      <diagonal/>
    </border>
    <border>
      <left style="medium">
        <color theme="0"/>
      </left>
      <right style="medium">
        <color theme="0"/>
      </right>
      <top/>
      <bottom style="medium">
        <color theme="0"/>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theme="0"/>
      </left>
      <right style="thin">
        <color theme="0"/>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top style="thin">
        <color theme="0"/>
      </top>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right style="thin">
        <color theme="0"/>
      </right>
      <top/>
      <bottom/>
      <diagonal/>
    </border>
    <border>
      <left/>
      <right/>
      <top style="thin">
        <color indexed="64"/>
      </top>
      <bottom style="thin">
        <color indexed="64"/>
      </bottom>
      <diagonal/>
    </border>
    <border>
      <left/>
      <right style="thin">
        <color auto="1"/>
      </right>
      <top style="thin">
        <color indexed="64"/>
      </top>
      <bottom/>
      <diagonal/>
    </border>
    <border>
      <left/>
      <right style="thin">
        <color auto="1"/>
      </right>
      <top/>
      <bottom style="thin">
        <color indexed="64"/>
      </bottom>
      <diagonal/>
    </border>
    <border>
      <left/>
      <right style="thin">
        <color auto="1"/>
      </right>
      <top style="medium">
        <color indexed="64"/>
      </top>
      <bottom style="thin">
        <color auto="1"/>
      </bottom>
      <diagonal/>
    </border>
    <border>
      <left/>
      <right style="thin">
        <color auto="1"/>
      </right>
      <top/>
      <bottom style="medium">
        <color indexed="64"/>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337">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horizontal="centerContinuous"/>
    </xf>
    <xf numFmtId="0" fontId="0" fillId="0" borderId="21" xfId="0" applyBorder="1"/>
    <xf numFmtId="0" fontId="0" fillId="0" borderId="22" xfId="0" applyBorder="1"/>
    <xf numFmtId="0" fontId="0" fillId="0" borderId="22" xfId="0" applyBorder="1" applyAlignment="1">
      <alignment horizontal="center"/>
    </xf>
    <xf numFmtId="0" fontId="0" fillId="0" borderId="13" xfId="0" applyBorder="1" applyAlignment="1">
      <alignment horizontal="center"/>
    </xf>
    <xf numFmtId="0" fontId="0" fillId="0" borderId="7" xfId="0" applyBorder="1" applyAlignment="1">
      <alignment horizontal="center"/>
    </xf>
    <xf numFmtId="0" fontId="0" fillId="0" borderId="7" xfId="0" applyBorder="1"/>
    <xf numFmtId="0" fontId="0" fillId="0" borderId="21" xfId="0" applyBorder="1" applyAlignment="1">
      <alignment horizontal="center"/>
    </xf>
    <xf numFmtId="0" fontId="0" fillId="0" borderId="23" xfId="0" applyBorder="1"/>
    <xf numFmtId="0" fontId="0" fillId="0" borderId="8" xfId="0" applyBorder="1"/>
    <xf numFmtId="0" fontId="0" fillId="0" borderId="13" xfId="0" applyBorder="1"/>
    <xf numFmtId="0" fontId="0" fillId="0" borderId="25" xfId="0" applyBorder="1"/>
    <xf numFmtId="0" fontId="0" fillId="0" borderId="24" xfId="0" applyBorder="1"/>
    <xf numFmtId="0" fontId="0" fillId="0" borderId="24" xfId="0" applyBorder="1" applyAlignment="1">
      <alignment horizontal="right"/>
    </xf>
    <xf numFmtId="1" fontId="0" fillId="0" borderId="0" xfId="0" applyNumberFormat="1" applyAlignment="1">
      <alignment horizontal="center"/>
    </xf>
    <xf numFmtId="0" fontId="0" fillId="0" borderId="13" xfId="0" applyBorder="1" applyAlignment="1">
      <alignment horizontal="right"/>
    </xf>
    <xf numFmtId="164" fontId="0" fillId="0" borderId="0" xfId="0" applyNumberFormat="1"/>
    <xf numFmtId="9" fontId="0" fillId="0" borderId="0" xfId="2" applyFont="1"/>
    <xf numFmtId="0" fontId="0" fillId="0" borderId="0" xfId="0" quotePrefix="1"/>
    <xf numFmtId="0" fontId="0" fillId="0" borderId="6" xfId="0" quotePrefix="1" applyBorder="1" applyAlignment="1">
      <alignment horizontal="center"/>
    </xf>
    <xf numFmtId="169" fontId="0" fillId="0" borderId="0" xfId="0" applyNumberFormat="1"/>
    <xf numFmtId="9" fontId="0" fillId="0" borderId="0" xfId="0" applyNumberFormat="1"/>
    <xf numFmtId="1" fontId="0" fillId="0" borderId="0" xfId="0" applyNumberFormat="1"/>
    <xf numFmtId="0" fontId="0" fillId="0" borderId="0" xfId="0" quotePrefix="1" applyAlignment="1">
      <alignment horizontal="centerContinuous"/>
    </xf>
    <xf numFmtId="0" fontId="6" fillId="0" borderId="22" xfId="0" quotePrefix="1" applyFont="1" applyBorder="1" applyAlignment="1">
      <alignment horizontal="centerContinuous"/>
    </xf>
    <xf numFmtId="0" fontId="0" fillId="0" borderId="22" xfId="0" applyBorder="1" applyAlignment="1">
      <alignment horizontal="centerContinuous"/>
    </xf>
    <xf numFmtId="0" fontId="0" fillId="0" borderId="22" xfId="0" quotePrefix="1" applyBorder="1" applyAlignment="1">
      <alignment horizontal="centerContinuous"/>
    </xf>
    <xf numFmtId="0" fontId="6" fillId="0" borderId="0" xfId="0" quotePrefix="1" applyFont="1" applyAlignment="1">
      <alignment horizontal="centerContinuous"/>
    </xf>
    <xf numFmtId="2" fontId="0" fillId="0" borderId="0" xfId="0" applyNumberFormat="1" applyAlignment="1">
      <alignment horizontal="center"/>
    </xf>
    <xf numFmtId="170" fontId="0" fillId="0" borderId="0" xfId="0" applyNumberFormat="1" applyAlignment="1">
      <alignment horizontal="center"/>
    </xf>
    <xf numFmtId="0" fontId="0" fillId="0" borderId="0" xfId="0" quotePrefix="1" applyAlignment="1">
      <alignment horizontal="center"/>
    </xf>
    <xf numFmtId="171" fontId="0" fillId="0" borderId="0" xfId="0" applyNumberFormat="1"/>
    <xf numFmtId="166" fontId="0" fillId="0" borderId="0" xfId="0" applyNumberFormat="1" applyAlignment="1">
      <alignment horizontal="center"/>
    </xf>
    <xf numFmtId="172" fontId="0" fillId="0" borderId="0" xfId="0" applyNumberFormat="1" applyAlignment="1">
      <alignment horizontal="center"/>
    </xf>
    <xf numFmtId="173" fontId="0" fillId="0" borderId="0" xfId="0" applyNumberFormat="1"/>
    <xf numFmtId="0" fontId="0" fillId="0" borderId="0" xfId="0" quotePrefix="1" applyAlignment="1">
      <alignment horizontal="right"/>
    </xf>
    <xf numFmtId="174" fontId="0" fillId="0" borderId="0" xfId="0" applyNumberFormat="1" applyAlignment="1">
      <alignment horizontal="center"/>
    </xf>
    <xf numFmtId="175" fontId="0" fillId="0" borderId="0" xfId="0" applyNumberFormat="1" applyAlignment="1">
      <alignment horizontal="center"/>
    </xf>
    <xf numFmtId="0" fontId="7" fillId="0" borderId="0" xfId="0" quotePrefix="1" applyFont="1" applyAlignment="1">
      <alignment horizontal="centerContinuous"/>
    </xf>
    <xf numFmtId="166" fontId="0" fillId="0" borderId="7" xfId="0" applyNumberFormat="1" applyBorder="1" applyAlignment="1">
      <alignment horizontal="center"/>
    </xf>
    <xf numFmtId="167" fontId="0" fillId="0" borderId="0" xfId="0" applyNumberFormat="1"/>
    <xf numFmtId="167" fontId="0" fillId="0" borderId="0" xfId="0" applyNumberFormat="1" applyAlignment="1">
      <alignment horizontal="center"/>
    </xf>
    <xf numFmtId="0" fontId="0" fillId="0" borderId="23" xfId="0" applyBorder="1" applyAlignment="1">
      <alignment horizontal="centerContinuous"/>
    </xf>
    <xf numFmtId="176" fontId="0" fillId="0" borderId="0" xfId="0" applyNumberFormat="1" applyAlignment="1">
      <alignment horizontal="right"/>
    </xf>
    <xf numFmtId="0" fontId="0" fillId="0" borderId="8" xfId="0" applyBorder="1" applyAlignment="1">
      <alignment horizontal="left"/>
    </xf>
    <xf numFmtId="177" fontId="0" fillId="0" borderId="7" xfId="0" applyNumberFormat="1" applyBorder="1" applyAlignment="1">
      <alignment horizontal="right"/>
    </xf>
    <xf numFmtId="0" fontId="0" fillId="0" borderId="25" xfId="0" applyBorder="1" applyAlignment="1">
      <alignment horizontal="left"/>
    </xf>
    <xf numFmtId="0" fontId="0" fillId="0" borderId="7" xfId="0" quotePrefix="1" applyBorder="1" applyAlignment="1">
      <alignment horizontal="center"/>
    </xf>
    <xf numFmtId="0" fontId="0" fillId="0" borderId="7" xfId="0" applyBorder="1" applyAlignment="1">
      <alignment horizontal="centerContinuous"/>
    </xf>
    <xf numFmtId="0" fontId="0" fillId="0" borderId="25" xfId="0" applyBorder="1" applyAlignment="1">
      <alignment horizontal="centerContinuous"/>
    </xf>
    <xf numFmtId="176" fontId="0" fillId="0" borderId="7" xfId="0" applyNumberFormat="1" applyBorder="1" applyAlignment="1">
      <alignment horizontal="right"/>
    </xf>
    <xf numFmtId="10" fontId="0" fillId="0" borderId="0" xfId="2" applyNumberFormat="1" applyFont="1" applyAlignment="1">
      <alignment horizontal="center"/>
    </xf>
    <xf numFmtId="0" fontId="0" fillId="5" borderId="0" xfId="0" applyFill="1"/>
    <xf numFmtId="164" fontId="0" fillId="0" borderId="8" xfId="0" applyNumberFormat="1" applyBorder="1" applyAlignment="1">
      <alignment horizontal="left"/>
    </xf>
    <xf numFmtId="176" fontId="0" fillId="0" borderId="0" xfId="0" applyNumberFormat="1" applyAlignment="1">
      <alignment horizontal="centerContinuous"/>
    </xf>
    <xf numFmtId="0" fontId="0" fillId="0" borderId="8" xfId="0" applyBorder="1" applyAlignment="1">
      <alignment horizontal="centerContinuous"/>
    </xf>
    <xf numFmtId="176" fontId="0" fillId="0" borderId="7" xfId="0" quotePrefix="1" applyNumberFormat="1" applyBorder="1" applyAlignment="1">
      <alignment horizontal="centerContinuous"/>
    </xf>
    <xf numFmtId="166" fontId="0" fillId="0" borderId="0" xfId="0" applyNumberFormat="1"/>
    <xf numFmtId="0" fontId="0" fillId="0" borderId="34" xfId="0" applyBorder="1" applyAlignment="1">
      <alignment horizontal="right"/>
    </xf>
    <xf numFmtId="166" fontId="0" fillId="0" borderId="34" xfId="0" applyNumberFormat="1" applyBorder="1"/>
    <xf numFmtId="0" fontId="6" fillId="0" borderId="0" xfId="0" applyFont="1" applyAlignment="1">
      <alignment horizontal="center"/>
    </xf>
    <xf numFmtId="0" fontId="0" fillId="0" borderId="6" xfId="0" applyBorder="1" applyAlignment="1">
      <alignment horizontal="center"/>
    </xf>
    <xf numFmtId="9" fontId="0" fillId="3" borderId="37" xfId="2" applyFont="1" applyFill="1" applyBorder="1" applyAlignment="1" applyProtection="1">
      <alignment horizontal="center"/>
      <protection hidden="1"/>
    </xf>
    <xf numFmtId="164" fontId="0" fillId="0" borderId="46" xfId="0" applyNumberFormat="1" applyBorder="1" applyAlignment="1" applyProtection="1">
      <alignment horizontal="center"/>
      <protection hidden="1"/>
    </xf>
    <xf numFmtId="164" fontId="0" fillId="0" borderId="28" xfId="0" applyNumberFormat="1" applyBorder="1" applyAlignment="1" applyProtection="1">
      <alignment horizontal="center"/>
      <protection hidden="1"/>
    </xf>
    <xf numFmtId="8" fontId="0" fillId="0" borderId="46" xfId="0" applyNumberFormat="1" applyBorder="1" applyAlignment="1" applyProtection="1">
      <alignment horizontal="center"/>
      <protection hidden="1"/>
    </xf>
    <xf numFmtId="8" fontId="0" fillId="0" borderId="28" xfId="0" applyNumberFormat="1" applyBorder="1" applyAlignment="1" applyProtection="1">
      <alignment horizontal="center"/>
      <protection hidden="1"/>
    </xf>
    <xf numFmtId="8" fontId="9" fillId="7" borderId="45" xfId="0" applyNumberFormat="1" applyFont="1" applyFill="1" applyBorder="1" applyProtection="1">
      <protection hidden="1"/>
    </xf>
    <xf numFmtId="44" fontId="0" fillId="0" borderId="5" xfId="1" applyFont="1" applyBorder="1" applyAlignment="1" applyProtection="1">
      <alignment horizontal="left"/>
      <protection hidden="1"/>
    </xf>
    <xf numFmtId="44" fontId="0" fillId="0" borderId="2" xfId="0" applyNumberFormat="1" applyBorder="1" applyProtection="1">
      <protection hidden="1"/>
    </xf>
    <xf numFmtId="8" fontId="5" fillId="0" borderId="1" xfId="0" applyNumberFormat="1" applyFont="1" applyBorder="1" applyAlignment="1" applyProtection="1">
      <alignment horizontal="left"/>
      <protection hidden="1"/>
    </xf>
    <xf numFmtId="0" fontId="0" fillId="0" borderId="0" xfId="0" applyProtection="1">
      <protection hidden="1"/>
    </xf>
    <xf numFmtId="0" fontId="0" fillId="0" borderId="0" xfId="0" applyAlignment="1" applyProtection="1">
      <alignment horizontal="right"/>
      <protection hidden="1"/>
    </xf>
    <xf numFmtId="166" fontId="0" fillId="0" borderId="0" xfId="0" applyNumberFormat="1" applyProtection="1">
      <protection hidden="1"/>
    </xf>
    <xf numFmtId="0" fontId="0" fillId="0" borderId="34" xfId="0" applyBorder="1" applyProtection="1">
      <protection hidden="1"/>
    </xf>
    <xf numFmtId="0" fontId="0" fillId="0" borderId="34" xfId="0" applyBorder="1" applyAlignment="1" applyProtection="1">
      <alignment horizontal="right"/>
      <protection hidden="1"/>
    </xf>
    <xf numFmtId="166" fontId="0" fillId="0" borderId="34" xfId="0" applyNumberFormat="1" applyBorder="1" applyProtection="1">
      <protection hidden="1"/>
    </xf>
    <xf numFmtId="178" fontId="0" fillId="0" borderId="0" xfId="2" applyNumberFormat="1" applyFont="1" applyProtection="1">
      <protection hidden="1"/>
    </xf>
    <xf numFmtId="167" fontId="0" fillId="0" borderId="0" xfId="0" applyNumberFormat="1" applyProtection="1">
      <protection hidden="1"/>
    </xf>
    <xf numFmtId="167" fontId="0" fillId="0" borderId="0" xfId="0" applyNumberFormat="1" applyAlignment="1" applyProtection="1">
      <alignment horizontal="right"/>
      <protection hidden="1"/>
    </xf>
    <xf numFmtId="167" fontId="0" fillId="0" borderId="34" xfId="0" applyNumberFormat="1" applyBorder="1" applyProtection="1">
      <protection hidden="1"/>
    </xf>
    <xf numFmtId="167" fontId="0" fillId="0" borderId="34" xfId="0" applyNumberFormat="1" applyBorder="1" applyAlignment="1" applyProtection="1">
      <alignment horizontal="right"/>
      <protection hidden="1"/>
    </xf>
    <xf numFmtId="0" fontId="0" fillId="0" borderId="0" xfId="0" quotePrefix="1" applyAlignment="1" applyProtection="1">
      <alignment horizontal="right"/>
      <protection hidden="1"/>
    </xf>
    <xf numFmtId="0" fontId="0" fillId="0" borderId="0" xfId="0" applyAlignment="1" applyProtection="1">
      <alignment horizontal="centerContinuous"/>
      <protection hidden="1"/>
    </xf>
    <xf numFmtId="0" fontId="0" fillId="0" borderId="21" xfId="0" applyBorder="1" applyProtection="1">
      <protection hidden="1"/>
    </xf>
    <xf numFmtId="0" fontId="0" fillId="0" borderId="22" xfId="0" applyBorder="1" applyProtection="1">
      <protection hidden="1"/>
    </xf>
    <xf numFmtId="0" fontId="0" fillId="0" borderId="22" xfId="0" applyBorder="1" applyAlignment="1" applyProtection="1">
      <alignment horizontal="center"/>
      <protection hidden="1"/>
    </xf>
    <xf numFmtId="0" fontId="0" fillId="0" borderId="23" xfId="0" applyBorder="1" applyAlignment="1" applyProtection="1">
      <alignment horizontal="center"/>
      <protection hidden="1"/>
    </xf>
    <xf numFmtId="0" fontId="0" fillId="0" borderId="0" xfId="0" applyAlignment="1" applyProtection="1">
      <alignment horizontal="center"/>
      <protection hidden="1"/>
    </xf>
    <xf numFmtId="0" fontId="0" fillId="0" borderId="21" xfId="0" applyBorder="1" applyAlignment="1" applyProtection="1">
      <alignment horizontal="center"/>
      <protection hidden="1"/>
    </xf>
    <xf numFmtId="0" fontId="0" fillId="0" borderId="23" xfId="0" applyBorder="1" applyProtection="1">
      <protection hidden="1"/>
    </xf>
    <xf numFmtId="0" fontId="0" fillId="0" borderId="24" xfId="0" applyBorder="1" applyAlignment="1" applyProtection="1">
      <alignment horizontal="center"/>
      <protection hidden="1"/>
    </xf>
    <xf numFmtId="0" fontId="0" fillId="0" borderId="8" xfId="0" applyBorder="1" applyAlignment="1" applyProtection="1">
      <alignment horizontal="center"/>
      <protection hidden="1"/>
    </xf>
    <xf numFmtId="0" fontId="0" fillId="0" borderId="8" xfId="0" applyBorder="1" applyProtection="1">
      <protection hidden="1"/>
    </xf>
    <xf numFmtId="0" fontId="0" fillId="0" borderId="24" xfId="0" applyBorder="1" applyProtection="1">
      <protection hidden="1"/>
    </xf>
    <xf numFmtId="166" fontId="0" fillId="0" borderId="8" xfId="0" applyNumberFormat="1" applyBorder="1" applyProtection="1">
      <protection hidden="1"/>
    </xf>
    <xf numFmtId="166" fontId="0" fillId="0" borderId="24" xfId="0" applyNumberFormat="1" applyBorder="1" applyProtection="1">
      <protection hidden="1"/>
    </xf>
    <xf numFmtId="167" fontId="0" fillId="0" borderId="8" xfId="0" applyNumberFormat="1" applyBorder="1" applyProtection="1">
      <protection hidden="1"/>
    </xf>
    <xf numFmtId="164" fontId="0" fillId="0" borderId="0" xfId="0" applyNumberFormat="1" applyProtection="1">
      <protection hidden="1"/>
    </xf>
    <xf numFmtId="0" fontId="0" fillId="0" borderId="13" xfId="0" applyBorder="1" applyAlignment="1" applyProtection="1">
      <alignment horizontal="center"/>
      <protection hidden="1"/>
    </xf>
    <xf numFmtId="0" fontId="0" fillId="0" borderId="7" xfId="0" applyBorder="1" applyAlignment="1" applyProtection="1">
      <alignment horizontal="center"/>
      <protection hidden="1"/>
    </xf>
    <xf numFmtId="0" fontId="0" fillId="0" borderId="25" xfId="0" applyBorder="1" applyAlignment="1" applyProtection="1">
      <alignment horizontal="center"/>
      <protection hidden="1"/>
    </xf>
    <xf numFmtId="0" fontId="0" fillId="0" borderId="24" xfId="0" applyBorder="1" applyAlignment="1" applyProtection="1">
      <alignment horizontal="right"/>
      <protection hidden="1"/>
    </xf>
    <xf numFmtId="0" fontId="0" fillId="0" borderId="24" xfId="0" quotePrefix="1" applyBorder="1" applyAlignment="1" applyProtection="1">
      <alignment horizontal="center"/>
      <protection hidden="1"/>
    </xf>
    <xf numFmtId="0" fontId="0" fillId="0" borderId="8" xfId="0" quotePrefix="1" applyBorder="1" applyAlignment="1" applyProtection="1">
      <alignment horizontal="center"/>
      <protection hidden="1"/>
    </xf>
    <xf numFmtId="9" fontId="0" fillId="0" borderId="0" xfId="2" applyFont="1" applyProtection="1">
      <protection hidden="1"/>
    </xf>
    <xf numFmtId="3" fontId="0" fillId="0" borderId="8" xfId="0" applyNumberFormat="1" applyBorder="1" applyProtection="1">
      <protection hidden="1"/>
    </xf>
    <xf numFmtId="1" fontId="0" fillId="0" borderId="0" xfId="0" applyNumberFormat="1" applyAlignment="1" applyProtection="1">
      <alignment horizontal="center"/>
      <protection hidden="1"/>
    </xf>
    <xf numFmtId="3" fontId="0" fillId="0" borderId="0" xfId="0" applyNumberFormat="1" applyProtection="1">
      <protection hidden="1"/>
    </xf>
    <xf numFmtId="2" fontId="0" fillId="0" borderId="8" xfId="0" applyNumberFormat="1" applyBorder="1" applyProtection="1">
      <protection hidden="1"/>
    </xf>
    <xf numFmtId="2" fontId="0" fillId="0" borderId="0" xfId="0" applyNumberFormat="1" applyAlignment="1" applyProtection="1">
      <alignment horizontal="right"/>
      <protection hidden="1"/>
    </xf>
    <xf numFmtId="7" fontId="0" fillId="0" borderId="13" xfId="1" applyNumberFormat="1" applyFont="1" applyBorder="1" applyAlignment="1" applyProtection="1">
      <alignment horizontal="center"/>
      <protection hidden="1"/>
    </xf>
    <xf numFmtId="7" fontId="0" fillId="0" borderId="25" xfId="1" applyNumberFormat="1" applyFont="1" applyBorder="1" applyAlignment="1" applyProtection="1">
      <alignment horizontal="center"/>
      <protection hidden="1"/>
    </xf>
    <xf numFmtId="0" fontId="0" fillId="0" borderId="13" xfId="0" applyBorder="1" applyAlignment="1" applyProtection="1">
      <alignment horizontal="right"/>
      <protection hidden="1"/>
    </xf>
    <xf numFmtId="1" fontId="0" fillId="0" borderId="7" xfId="0" applyNumberFormat="1" applyBorder="1" applyAlignment="1" applyProtection="1">
      <alignment horizontal="center"/>
      <protection hidden="1"/>
    </xf>
    <xf numFmtId="0" fontId="0" fillId="0" borderId="7" xfId="0" applyBorder="1" applyProtection="1">
      <protection hidden="1"/>
    </xf>
    <xf numFmtId="3" fontId="0" fillId="0" borderId="7" xfId="0" applyNumberFormat="1" applyBorder="1" applyProtection="1">
      <protection hidden="1"/>
    </xf>
    <xf numFmtId="2" fontId="0" fillId="0" borderId="25" xfId="0" applyNumberFormat="1" applyBorder="1" applyProtection="1">
      <protection hidden="1"/>
    </xf>
    <xf numFmtId="166" fontId="0" fillId="0" borderId="25" xfId="0" applyNumberFormat="1" applyBorder="1" applyProtection="1">
      <protection hidden="1"/>
    </xf>
    <xf numFmtId="0" fontId="0" fillId="0" borderId="13" xfId="0" applyBorder="1" applyProtection="1">
      <protection hidden="1"/>
    </xf>
    <xf numFmtId="0" fontId="0" fillId="0" borderId="25" xfId="0" applyBorder="1" applyProtection="1">
      <protection hidden="1"/>
    </xf>
    <xf numFmtId="3" fontId="0" fillId="0" borderId="25" xfId="0" applyNumberFormat="1" applyBorder="1" applyProtection="1">
      <protection hidden="1"/>
    </xf>
    <xf numFmtId="165" fontId="0" fillId="0" borderId="0" xfId="0" applyNumberFormat="1" applyProtection="1">
      <protection hidden="1"/>
    </xf>
    <xf numFmtId="2" fontId="0" fillId="0" borderId="7" xfId="0" applyNumberFormat="1" applyBorder="1" applyAlignment="1" applyProtection="1">
      <alignment horizontal="right"/>
      <protection hidden="1"/>
    </xf>
    <xf numFmtId="2" fontId="0" fillId="0" borderId="0" xfId="0" applyNumberFormat="1" applyProtection="1">
      <protection hidden="1"/>
    </xf>
    <xf numFmtId="3" fontId="0" fillId="0" borderId="0" xfId="0" applyNumberFormat="1" applyAlignment="1" applyProtection="1">
      <alignment horizontal="center"/>
      <protection hidden="1"/>
    </xf>
    <xf numFmtId="0" fontId="0" fillId="0" borderId="1" xfId="0" applyBorder="1" applyProtection="1">
      <protection hidden="1"/>
    </xf>
    <xf numFmtId="0" fontId="0" fillId="3" borderId="1" xfId="0" applyFill="1" applyBorder="1" applyProtection="1">
      <protection hidden="1"/>
    </xf>
    <xf numFmtId="0" fontId="0" fillId="3" borderId="0" xfId="0" applyFill="1" applyProtection="1">
      <protection hidden="1"/>
    </xf>
    <xf numFmtId="0" fontId="0" fillId="3" borderId="0" xfId="0" applyFill="1" applyAlignment="1" applyProtection="1">
      <alignment horizontal="center"/>
      <protection hidden="1"/>
    </xf>
    <xf numFmtId="3" fontId="5" fillId="3" borderId="0" xfId="0" applyNumberFormat="1" applyFont="1" applyFill="1" applyAlignment="1" applyProtection="1">
      <alignment horizontal="center"/>
      <protection hidden="1"/>
    </xf>
    <xf numFmtId="8" fontId="5" fillId="3" borderId="0" xfId="0" applyNumberFormat="1" applyFont="1" applyFill="1" applyAlignment="1" applyProtection="1">
      <alignment horizontal="left"/>
      <protection hidden="1"/>
    </xf>
    <xf numFmtId="44" fontId="0" fillId="3" borderId="0" xfId="1" applyFont="1" applyFill="1" applyBorder="1" applyAlignment="1" applyProtection="1">
      <alignment horizontal="left"/>
      <protection hidden="1"/>
    </xf>
    <xf numFmtId="164" fontId="0" fillId="3" borderId="0" xfId="0" applyNumberFormat="1" applyFill="1" applyAlignment="1" applyProtection="1">
      <alignment horizontal="center"/>
      <protection hidden="1"/>
    </xf>
    <xf numFmtId="8" fontId="0" fillId="3" borderId="0" xfId="0" applyNumberFormat="1" applyFill="1" applyAlignment="1" applyProtection="1">
      <alignment horizontal="center"/>
      <protection hidden="1"/>
    </xf>
    <xf numFmtId="8" fontId="9" fillId="3" borderId="0" xfId="0" applyNumberFormat="1" applyFont="1" applyFill="1" applyProtection="1">
      <protection hidden="1"/>
    </xf>
    <xf numFmtId="0" fontId="0" fillId="3" borderId="0" xfId="0" applyFill="1" applyAlignment="1" applyProtection="1">
      <alignment horizontal="right"/>
      <protection hidden="1"/>
    </xf>
    <xf numFmtId="0" fontId="0" fillId="3" borderId="0" xfId="0" applyFill="1" applyAlignment="1" applyProtection="1">
      <alignment horizontal="centerContinuous"/>
      <protection hidden="1"/>
    </xf>
    <xf numFmtId="0" fontId="0" fillId="0" borderId="4" xfId="0" applyBorder="1" applyProtection="1">
      <protection hidden="1"/>
    </xf>
    <xf numFmtId="0" fontId="0" fillId="3" borderId="4" xfId="0" applyFill="1" applyBorder="1" applyProtection="1">
      <protection hidden="1"/>
    </xf>
    <xf numFmtId="0" fontId="11" fillId="3" borderId="4" xfId="0" quotePrefix="1" applyFont="1" applyFill="1" applyBorder="1" applyProtection="1">
      <protection hidden="1"/>
    </xf>
    <xf numFmtId="0" fontId="0" fillId="3" borderId="2" xfId="0" applyFill="1" applyBorder="1" applyProtection="1">
      <protection hidden="1"/>
    </xf>
    <xf numFmtId="0" fontId="1" fillId="3" borderId="0" xfId="0" quotePrefix="1" applyFont="1" applyFill="1" applyAlignment="1" applyProtection="1">
      <alignment horizontal="centerContinuous"/>
      <protection hidden="1"/>
    </xf>
    <xf numFmtId="0" fontId="1" fillId="3" borderId="0" xfId="0" applyFont="1" applyFill="1" applyAlignment="1" applyProtection="1">
      <alignment horizontal="centerContinuous"/>
      <protection hidden="1"/>
    </xf>
    <xf numFmtId="0" fontId="0" fillId="3" borderId="18" xfId="0" applyFill="1" applyBorder="1" applyProtection="1">
      <protection hidden="1"/>
    </xf>
    <xf numFmtId="0" fontId="0" fillId="3" borderId="0" xfId="0" quotePrefix="1" applyFill="1" applyProtection="1">
      <protection hidden="1"/>
    </xf>
    <xf numFmtId="0" fontId="12" fillId="3" borderId="0" xfId="0" quotePrefix="1" applyFont="1" applyFill="1" applyProtection="1">
      <protection hidden="1"/>
    </xf>
    <xf numFmtId="0" fontId="12" fillId="3" borderId="0" xfId="0" quotePrefix="1" applyFont="1" applyFill="1" applyAlignment="1" applyProtection="1">
      <alignment horizontal="left"/>
      <protection hidden="1"/>
    </xf>
    <xf numFmtId="0" fontId="0" fillId="3" borderId="0" xfId="0" quotePrefix="1" applyFill="1" applyAlignment="1" applyProtection="1">
      <alignment horizontal="left"/>
      <protection hidden="1"/>
    </xf>
    <xf numFmtId="0" fontId="0" fillId="3" borderId="0" xfId="0" quotePrefix="1" applyFill="1" applyAlignment="1" applyProtection="1">
      <alignment horizontal="right"/>
      <protection hidden="1"/>
    </xf>
    <xf numFmtId="9" fontId="0" fillId="3" borderId="0" xfId="0" applyNumberFormat="1" applyFill="1" applyAlignment="1" applyProtection="1">
      <alignment horizontal="left"/>
      <protection hidden="1"/>
    </xf>
    <xf numFmtId="0" fontId="9" fillId="3" borderId="0" xfId="0" applyFont="1" applyFill="1" applyProtection="1">
      <protection hidden="1"/>
    </xf>
    <xf numFmtId="0" fontId="9" fillId="3" borderId="0" xfId="0" applyFont="1" applyFill="1" applyAlignment="1" applyProtection="1">
      <alignment horizontal="right"/>
      <protection hidden="1"/>
    </xf>
    <xf numFmtId="0" fontId="0" fillId="3" borderId="47" xfId="0" applyFill="1" applyBorder="1" applyProtection="1">
      <protection hidden="1"/>
    </xf>
    <xf numFmtId="180" fontId="9" fillId="7" borderId="28" xfId="1" applyNumberFormat="1" applyFont="1" applyFill="1" applyBorder="1" applyProtection="1">
      <protection hidden="1"/>
    </xf>
    <xf numFmtId="0" fontId="14" fillId="0" borderId="0" xfId="0" applyFont="1" applyProtection="1">
      <protection hidden="1"/>
    </xf>
    <xf numFmtId="0" fontId="14" fillId="3" borderId="0" xfId="0" quotePrefix="1" applyFont="1" applyFill="1" applyProtection="1">
      <protection hidden="1"/>
    </xf>
    <xf numFmtId="0" fontId="14" fillId="3" borderId="0" xfId="0" applyFont="1" applyFill="1" applyProtection="1">
      <protection hidden="1"/>
    </xf>
    <xf numFmtId="0" fontId="14" fillId="3" borderId="0" xfId="0" applyFont="1" applyFill="1" applyAlignment="1" applyProtection="1">
      <alignment horizontal="center" vertical="center" wrapText="1"/>
      <protection hidden="1"/>
    </xf>
    <xf numFmtId="0" fontId="14" fillId="3" borderId="0" xfId="0" quotePrefix="1" applyFont="1" applyFill="1" applyAlignment="1" applyProtection="1">
      <alignment horizontal="center" vertical="center" wrapText="1"/>
      <protection hidden="1"/>
    </xf>
    <xf numFmtId="0" fontId="15" fillId="3" borderId="0" xfId="0" applyFont="1" applyFill="1" applyAlignment="1" applyProtection="1">
      <alignment horizontal="center" vertical="center" wrapText="1"/>
      <protection hidden="1"/>
    </xf>
    <xf numFmtId="3" fontId="1" fillId="3" borderId="0" xfId="0" applyNumberFormat="1" applyFont="1" applyFill="1" applyAlignment="1" applyProtection="1">
      <alignment horizontal="center"/>
      <protection hidden="1"/>
    </xf>
    <xf numFmtId="4" fontId="14" fillId="3" borderId="0" xfId="0" applyNumberFormat="1" applyFont="1" applyFill="1" applyAlignment="1" applyProtection="1">
      <alignment horizontal="center"/>
      <protection hidden="1"/>
    </xf>
    <xf numFmtId="180" fontId="15" fillId="3" borderId="0" xfId="1" applyNumberFormat="1" applyFont="1" applyFill="1" applyBorder="1" applyProtection="1">
      <protection hidden="1"/>
    </xf>
    <xf numFmtId="14" fontId="14" fillId="3" borderId="0" xfId="0" applyNumberFormat="1" applyFont="1" applyFill="1" applyProtection="1">
      <protection hidden="1"/>
    </xf>
    <xf numFmtId="0" fontId="14" fillId="3" borderId="0" xfId="0" applyFont="1" applyFill="1" applyAlignment="1" applyProtection="1">
      <alignment horizontal="center"/>
      <protection hidden="1"/>
    </xf>
    <xf numFmtId="0" fontId="1" fillId="3" borderId="0" xfId="0" quotePrefix="1" applyFont="1" applyFill="1" applyProtection="1">
      <protection hidden="1"/>
    </xf>
    <xf numFmtId="0" fontId="16" fillId="3" borderId="0" xfId="0" applyFont="1" applyFill="1" applyAlignment="1" applyProtection="1">
      <alignment horizontal="centerContinuous"/>
      <protection hidden="1"/>
    </xf>
    <xf numFmtId="0" fontId="14" fillId="3" borderId="0" xfId="0" quotePrefix="1" applyFont="1" applyFill="1" applyAlignment="1" applyProtection="1">
      <alignment horizontal="left"/>
      <protection hidden="1"/>
    </xf>
    <xf numFmtId="0" fontId="14" fillId="3" borderId="0" xfId="0" applyFont="1" applyFill="1" applyAlignment="1" applyProtection="1">
      <alignment horizontal="centerContinuous"/>
      <protection hidden="1"/>
    </xf>
    <xf numFmtId="0" fontId="14" fillId="3" borderId="0" xfId="0" applyFont="1" applyFill="1" applyAlignment="1" applyProtection="1">
      <alignment horizontal="right"/>
      <protection hidden="1"/>
    </xf>
    <xf numFmtId="8" fontId="1" fillId="3" borderId="0" xfId="0" applyNumberFormat="1" applyFont="1" applyFill="1" applyAlignment="1" applyProtection="1">
      <alignment horizontal="left"/>
      <protection hidden="1"/>
    </xf>
    <xf numFmtId="44" fontId="14" fillId="3" borderId="0" xfId="1" applyFont="1" applyFill="1" applyBorder="1" applyAlignment="1" applyProtection="1">
      <alignment horizontal="left"/>
      <protection hidden="1"/>
    </xf>
    <xf numFmtId="0" fontId="17" fillId="3" borderId="0" xfId="0" quotePrefix="1" applyFont="1" applyFill="1" applyProtection="1">
      <protection hidden="1"/>
    </xf>
    <xf numFmtId="0" fontId="14" fillId="3" borderId="9" xfId="0" quotePrefix="1" applyFont="1" applyFill="1" applyBorder="1" applyProtection="1">
      <protection hidden="1"/>
    </xf>
    <xf numFmtId="0" fontId="14" fillId="3" borderId="10" xfId="0" applyFont="1" applyFill="1" applyBorder="1" applyAlignment="1" applyProtection="1">
      <alignment horizontal="centerContinuous"/>
      <protection hidden="1"/>
    </xf>
    <xf numFmtId="0" fontId="14" fillId="3" borderId="10" xfId="0" applyFont="1" applyFill="1" applyBorder="1" applyAlignment="1" applyProtection="1">
      <alignment horizontal="right"/>
      <protection hidden="1"/>
    </xf>
    <xf numFmtId="4" fontId="1" fillId="3" borderId="11" xfId="0" applyNumberFormat="1" applyFont="1" applyFill="1" applyBorder="1" applyAlignment="1" applyProtection="1">
      <alignment horizontal="right"/>
      <protection hidden="1"/>
    </xf>
    <xf numFmtId="0" fontId="14" fillId="3" borderId="24" xfId="0" quotePrefix="1" applyFont="1" applyFill="1" applyBorder="1" applyProtection="1">
      <protection hidden="1"/>
    </xf>
    <xf numFmtId="8" fontId="1" fillId="3" borderId="8" xfId="0" applyNumberFormat="1" applyFont="1" applyFill="1" applyBorder="1" applyAlignment="1" applyProtection="1">
      <alignment horizontal="right"/>
      <protection hidden="1"/>
    </xf>
    <xf numFmtId="0" fontId="14" fillId="3" borderId="48" xfId="0" quotePrefix="1" applyFont="1" applyFill="1" applyBorder="1" applyProtection="1">
      <protection hidden="1"/>
    </xf>
    <xf numFmtId="0" fontId="14" fillId="3" borderId="49" xfId="0" applyFont="1" applyFill="1" applyBorder="1" applyAlignment="1" applyProtection="1">
      <alignment horizontal="centerContinuous"/>
      <protection hidden="1"/>
    </xf>
    <xf numFmtId="0" fontId="14" fillId="3" borderId="49" xfId="0" applyFont="1" applyFill="1" applyBorder="1" applyAlignment="1" applyProtection="1">
      <alignment horizontal="right"/>
      <protection hidden="1"/>
    </xf>
    <xf numFmtId="8" fontId="1" fillId="3" borderId="50" xfId="0" applyNumberFormat="1" applyFont="1" applyFill="1" applyBorder="1" applyAlignment="1" applyProtection="1">
      <alignment horizontal="right"/>
      <protection hidden="1"/>
    </xf>
    <xf numFmtId="8" fontId="13" fillId="3" borderId="0" xfId="0" applyNumberFormat="1" applyFont="1" applyFill="1" applyAlignment="1" applyProtection="1">
      <alignment horizontal="right"/>
      <protection hidden="1"/>
    </xf>
    <xf numFmtId="0" fontId="12" fillId="3" borderId="0" xfId="0" applyFont="1" applyFill="1" applyAlignment="1" applyProtection="1">
      <alignment horizontal="center"/>
      <protection hidden="1"/>
    </xf>
    <xf numFmtId="44" fontId="0" fillId="3" borderId="39" xfId="0" applyNumberFormat="1" applyFill="1" applyBorder="1" applyAlignment="1" applyProtection="1">
      <alignment horizontal="left"/>
      <protection hidden="1"/>
    </xf>
    <xf numFmtId="44" fontId="0" fillId="3" borderId="40" xfId="0" applyNumberFormat="1" applyFill="1" applyBorder="1" applyAlignment="1" applyProtection="1">
      <alignment horizontal="left"/>
      <protection hidden="1"/>
    </xf>
    <xf numFmtId="44" fontId="0" fillId="3" borderId="12" xfId="1" applyFont="1" applyFill="1" applyBorder="1" applyAlignment="1" applyProtection="1">
      <alignment horizontal="left"/>
      <protection hidden="1"/>
    </xf>
    <xf numFmtId="0" fontId="17" fillId="0" borderId="0" xfId="0" applyFont="1" applyProtection="1">
      <protection hidden="1"/>
    </xf>
    <xf numFmtId="0" fontId="14" fillId="0" borderId="1" xfId="0" applyFont="1" applyBorder="1" applyProtection="1">
      <protection hidden="1"/>
    </xf>
    <xf numFmtId="180" fontId="9" fillId="7" borderId="25" xfId="1" applyNumberFormat="1" applyFont="1" applyFill="1" applyBorder="1" applyProtection="1">
      <protection hidden="1"/>
    </xf>
    <xf numFmtId="2" fontId="0" fillId="3" borderId="0" xfId="0" applyNumberFormat="1" applyFill="1" applyAlignment="1" applyProtection="1">
      <alignment horizontal="center"/>
      <protection hidden="1"/>
    </xf>
    <xf numFmtId="3" fontId="0" fillId="3" borderId="0" xfId="0" applyNumberFormat="1" applyFill="1" applyAlignment="1" applyProtection="1">
      <alignment horizontal="center"/>
      <protection hidden="1"/>
    </xf>
    <xf numFmtId="3" fontId="0" fillId="3" borderId="0" xfId="0" applyNumberFormat="1" applyFill="1" applyProtection="1">
      <protection hidden="1"/>
    </xf>
    <xf numFmtId="2" fontId="0" fillId="0" borderId="25" xfId="0" applyNumberFormat="1" applyBorder="1" applyAlignment="1" applyProtection="1">
      <alignment horizontal="center"/>
      <protection hidden="1"/>
    </xf>
    <xf numFmtId="0" fontId="14" fillId="0" borderId="2" xfId="0" applyFont="1" applyBorder="1" applyProtection="1">
      <protection hidden="1"/>
    </xf>
    <xf numFmtId="0" fontId="0" fillId="0" borderId="2" xfId="0" applyBorder="1" applyProtection="1">
      <protection hidden="1"/>
    </xf>
    <xf numFmtId="0" fontId="0" fillId="0" borderId="18" xfId="0" applyBorder="1" applyProtection="1">
      <protection hidden="1"/>
    </xf>
    <xf numFmtId="0" fontId="0" fillId="0" borderId="3" xfId="0" applyBorder="1" applyProtection="1">
      <protection hidden="1"/>
    </xf>
    <xf numFmtId="0" fontId="1" fillId="0" borderId="4" xfId="0" quotePrefix="1" applyFont="1" applyBorder="1" applyAlignment="1" applyProtection="1">
      <alignment horizontal="centerContinuous"/>
      <protection hidden="1"/>
    </xf>
    <xf numFmtId="0" fontId="1" fillId="0" borderId="4" xfId="0" applyFont="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2" borderId="39" xfId="0" applyFill="1" applyBorder="1" applyAlignment="1" applyProtection="1">
      <alignment horizontal="left"/>
      <protection hidden="1"/>
    </xf>
    <xf numFmtId="0" fontId="0" fillId="2" borderId="33" xfId="0" applyFill="1" applyBorder="1" applyProtection="1">
      <protection hidden="1"/>
    </xf>
    <xf numFmtId="179" fontId="0" fillId="3" borderId="37" xfId="3" applyNumberFormat="1" applyFont="1" applyFill="1" applyBorder="1" applyAlignment="1" applyProtection="1">
      <alignment horizontal="center"/>
      <protection hidden="1"/>
    </xf>
    <xf numFmtId="0" fontId="0" fillId="2" borderId="40" xfId="0" applyFill="1" applyBorder="1" applyProtection="1">
      <protection hidden="1"/>
    </xf>
    <xf numFmtId="0" fontId="0" fillId="2" borderId="0" xfId="0" applyFill="1" applyProtection="1">
      <protection hidden="1"/>
    </xf>
    <xf numFmtId="179" fontId="0" fillId="2" borderId="41" xfId="3" applyNumberFormat="1" applyFont="1" applyFill="1" applyBorder="1" applyProtection="1">
      <protection hidden="1"/>
    </xf>
    <xf numFmtId="0" fontId="0" fillId="2" borderId="40" xfId="0" applyFill="1" applyBorder="1" applyAlignment="1" applyProtection="1">
      <alignment horizontal="left"/>
      <protection hidden="1"/>
    </xf>
    <xf numFmtId="0" fontId="0" fillId="2" borderId="0" xfId="0" applyFill="1" applyAlignment="1" applyProtection="1">
      <alignment horizontal="right"/>
      <protection hidden="1"/>
    </xf>
    <xf numFmtId="179" fontId="0" fillId="2" borderId="41" xfId="3" applyNumberFormat="1" applyFont="1" applyFill="1" applyBorder="1" applyAlignment="1" applyProtection="1">
      <alignment horizontal="center"/>
      <protection hidden="1"/>
    </xf>
    <xf numFmtId="0" fontId="0" fillId="2" borderId="0" xfId="0" quotePrefix="1" applyFill="1" applyAlignment="1" applyProtection="1">
      <alignment horizontal="left"/>
      <protection hidden="1"/>
    </xf>
    <xf numFmtId="0" fontId="0" fillId="2" borderId="41" xfId="0" applyFill="1" applyBorder="1" applyProtection="1">
      <protection hidden="1"/>
    </xf>
    <xf numFmtId="0" fontId="0" fillId="2" borderId="41" xfId="0" applyFill="1" applyBorder="1" applyAlignment="1" applyProtection="1">
      <alignment horizontal="center"/>
      <protection hidden="1"/>
    </xf>
    <xf numFmtId="9" fontId="0" fillId="2" borderId="41" xfId="2" applyFont="1" applyFill="1" applyBorder="1" applyProtection="1">
      <protection hidden="1"/>
    </xf>
    <xf numFmtId="0" fontId="0" fillId="2" borderId="12" xfId="0" applyFill="1" applyBorder="1" applyAlignment="1" applyProtection="1">
      <alignment horizontal="left"/>
      <protection hidden="1"/>
    </xf>
    <xf numFmtId="0" fontId="0" fillId="2" borderId="6" xfId="0" applyFill="1" applyBorder="1" applyProtection="1">
      <protection hidden="1"/>
    </xf>
    <xf numFmtId="0" fontId="0" fillId="0" borderId="0" xfId="0" applyAlignment="1" applyProtection="1">
      <alignment horizontal="left"/>
      <protection hidden="1"/>
    </xf>
    <xf numFmtId="1" fontId="0" fillId="2" borderId="0" xfId="0" applyNumberFormat="1" applyFill="1" applyAlignment="1" applyProtection="1">
      <alignment horizontal="center"/>
      <protection hidden="1"/>
    </xf>
    <xf numFmtId="0" fontId="0" fillId="0" borderId="0" xfId="0" quotePrefix="1" applyAlignment="1" applyProtection="1">
      <alignment horizontal="centerContinuous"/>
      <protection hidden="1"/>
    </xf>
    <xf numFmtId="3" fontId="0" fillId="2" borderId="0" xfId="0" applyNumberFormat="1" applyFill="1" applyAlignment="1" applyProtection="1">
      <alignment horizontal="right"/>
      <protection hidden="1"/>
    </xf>
    <xf numFmtId="3" fontId="5" fillId="2" borderId="0" xfId="0" applyNumberFormat="1" applyFont="1" applyFill="1" applyAlignment="1" applyProtection="1">
      <alignment horizontal="right"/>
      <protection hidden="1"/>
    </xf>
    <xf numFmtId="0" fontId="1" fillId="0" borderId="20" xfId="0" quotePrefix="1" applyFont="1" applyBorder="1" applyAlignment="1" applyProtection="1">
      <alignment horizontal="centerContinuous"/>
      <protection hidden="1"/>
    </xf>
    <xf numFmtId="0" fontId="0" fillId="3" borderId="17" xfId="0" applyFill="1" applyBorder="1" applyAlignment="1" applyProtection="1">
      <alignment horizontal="centerContinuous"/>
      <protection hidden="1"/>
    </xf>
    <xf numFmtId="0" fontId="0" fillId="3" borderId="20" xfId="0" applyFill="1" applyBorder="1" applyProtection="1">
      <protection hidden="1"/>
    </xf>
    <xf numFmtId="0" fontId="1" fillId="0" borderId="0" xfId="0" quotePrefix="1" applyFont="1" applyAlignment="1" applyProtection="1">
      <alignment horizontal="centerContinuous"/>
      <protection hidden="1"/>
    </xf>
    <xf numFmtId="0" fontId="0" fillId="0" borderId="0" xfId="0" quotePrefix="1" applyProtection="1">
      <protection hidden="1"/>
    </xf>
    <xf numFmtId="0" fontId="0" fillId="3" borderId="0" xfId="0" applyFill="1" applyAlignment="1" applyProtection="1">
      <alignment horizontal="center" vertical="center" wrapText="1"/>
      <protection hidden="1"/>
    </xf>
    <xf numFmtId="0" fontId="0" fillId="3" borderId="0" xfId="0" quotePrefix="1" applyFill="1" applyAlignment="1" applyProtection="1">
      <alignment horizontal="center" vertical="center" wrapText="1"/>
      <protection hidden="1"/>
    </xf>
    <xf numFmtId="0" fontId="9" fillId="6" borderId="11" xfId="0" applyFont="1" applyFill="1" applyBorder="1" applyAlignment="1" applyProtection="1">
      <alignment horizontal="center" vertical="center" wrapText="1"/>
      <protection hidden="1"/>
    </xf>
    <xf numFmtId="0" fontId="1" fillId="0" borderId="1" xfId="0" quotePrefix="1" applyFont="1"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27" xfId="0" applyBorder="1" applyAlignment="1" applyProtection="1">
      <alignment horizontal="centerContinuous"/>
      <protection hidden="1"/>
    </xf>
    <xf numFmtId="0" fontId="1" fillId="0" borderId="4" xfId="0" quotePrefix="1" applyFont="1" applyBorder="1" applyAlignment="1" applyProtection="1">
      <alignment horizontal="center"/>
      <protection hidden="1"/>
    </xf>
    <xf numFmtId="0" fontId="0" fillId="0" borderId="5" xfId="0" applyBorder="1" applyProtection="1">
      <protection hidden="1"/>
    </xf>
    <xf numFmtId="0" fontId="0" fillId="0" borderId="26" xfId="0" applyBorder="1" applyProtection="1">
      <protection hidden="1"/>
    </xf>
    <xf numFmtId="0" fontId="0" fillId="0" borderId="26" xfId="0" applyBorder="1" applyAlignment="1" applyProtection="1">
      <alignment horizontal="centerContinuous"/>
      <protection hidden="1"/>
    </xf>
    <xf numFmtId="0" fontId="1" fillId="0" borderId="0" xfId="0" quotePrefix="1" applyFont="1" applyAlignment="1" applyProtection="1">
      <alignment horizontal="center"/>
      <protection hidden="1"/>
    </xf>
    <xf numFmtId="0" fontId="0" fillId="0" borderId="1" xfId="0" quotePrefix="1" applyBorder="1" applyProtection="1">
      <protection hidden="1"/>
    </xf>
    <xf numFmtId="0" fontId="9" fillId="6" borderId="28" xfId="0" applyFont="1" applyFill="1" applyBorder="1" applyAlignment="1" applyProtection="1">
      <alignment horizontal="center" vertical="center" wrapText="1"/>
      <protection hidden="1"/>
    </xf>
    <xf numFmtId="0" fontId="0" fillId="0" borderId="5" xfId="0" quotePrefix="1" applyBorder="1" applyProtection="1">
      <protection hidden="1"/>
    </xf>
    <xf numFmtId="0" fontId="10" fillId="0" borderId="1" xfId="0" quotePrefix="1" applyFont="1" applyBorder="1" applyProtection="1">
      <protection hidden="1"/>
    </xf>
    <xf numFmtId="0" fontId="6" fillId="0" borderId="27" xfId="0" quotePrefix="1" applyFont="1" applyBorder="1" applyAlignment="1" applyProtection="1">
      <alignment horizontal="centerContinuous"/>
      <protection hidden="1"/>
    </xf>
    <xf numFmtId="0" fontId="6" fillId="0" borderId="27" xfId="0" applyFont="1" applyBorder="1" applyAlignment="1" applyProtection="1">
      <alignment horizontal="centerContinuous"/>
      <protection hidden="1"/>
    </xf>
    <xf numFmtId="0" fontId="6" fillId="0" borderId="5" xfId="0" quotePrefix="1" applyFont="1" applyBorder="1" applyAlignment="1" applyProtection="1">
      <alignment horizontal="centerContinuous"/>
      <protection hidden="1"/>
    </xf>
    <xf numFmtId="0" fontId="6" fillId="0" borderId="5" xfId="0" applyFont="1" applyBorder="1" applyAlignment="1" applyProtection="1">
      <alignment horizontal="centerContinuous"/>
      <protection hidden="1"/>
    </xf>
    <xf numFmtId="0" fontId="0" fillId="0" borderId="1" xfId="0" quotePrefix="1" applyBorder="1" applyAlignment="1" applyProtection="1">
      <alignment horizontal="left"/>
      <protection hidden="1"/>
    </xf>
    <xf numFmtId="0" fontId="0" fillId="0" borderId="1" xfId="0" applyBorder="1" applyAlignment="1" applyProtection="1">
      <alignment horizontal="centerContinuous"/>
      <protection hidden="1"/>
    </xf>
    <xf numFmtId="0" fontId="0" fillId="0" borderId="1" xfId="0" applyBorder="1" applyAlignment="1" applyProtection="1">
      <alignment horizontal="right"/>
      <protection hidden="1"/>
    </xf>
    <xf numFmtId="0" fontId="0" fillId="0" borderId="29" xfId="0" applyBorder="1" applyProtection="1">
      <protection hidden="1"/>
    </xf>
    <xf numFmtId="0" fontId="0" fillId="0" borderId="5" xfId="0" applyBorder="1" applyAlignment="1" applyProtection="1">
      <alignment horizontal="right"/>
      <protection hidden="1"/>
    </xf>
    <xf numFmtId="8" fontId="0" fillId="0" borderId="5" xfId="0" applyNumberFormat="1" applyBorder="1" applyAlignment="1" applyProtection="1">
      <alignment horizontal="left"/>
      <protection hidden="1"/>
    </xf>
    <xf numFmtId="0" fontId="0" fillId="0" borderId="4" xfId="0" quotePrefix="1" applyBorder="1" applyAlignment="1" applyProtection="1">
      <alignment horizontal="left"/>
      <protection hidden="1"/>
    </xf>
    <xf numFmtId="0" fontId="0" fillId="0" borderId="4" xfId="0" applyBorder="1" applyAlignment="1" applyProtection="1">
      <alignment horizontal="right"/>
      <protection hidden="1"/>
    </xf>
    <xf numFmtId="0" fontId="0" fillId="0" borderId="26" xfId="0" applyBorder="1" applyAlignment="1" applyProtection="1">
      <alignment horizontal="right"/>
      <protection hidden="1"/>
    </xf>
    <xf numFmtId="0" fontId="0" fillId="0" borderId="0" xfId="0" quotePrefix="1" applyAlignment="1" applyProtection="1">
      <alignment horizontal="left"/>
      <protection hidden="1"/>
    </xf>
    <xf numFmtId="0" fontId="0" fillId="0" borderId="17" xfId="0" applyBorder="1" applyAlignment="1" applyProtection="1">
      <alignment horizontal="center"/>
      <protection hidden="1"/>
    </xf>
    <xf numFmtId="0" fontId="0" fillId="0" borderId="4" xfId="0" applyBorder="1" applyAlignment="1" applyProtection="1">
      <alignment horizontal="center"/>
      <protection hidden="1"/>
    </xf>
    <xf numFmtId="0" fontId="0" fillId="0" borderId="51" xfId="0" applyBorder="1" applyProtection="1">
      <protection hidden="1"/>
    </xf>
    <xf numFmtId="0" fontId="0" fillId="0" borderId="27" xfId="0" applyBorder="1" applyProtection="1">
      <protection hidden="1"/>
    </xf>
    <xf numFmtId="0" fontId="0" fillId="0" borderId="29" xfId="0" applyBorder="1" applyAlignment="1" applyProtection="1">
      <alignment horizontal="left"/>
      <protection hidden="1"/>
    </xf>
    <xf numFmtId="0" fontId="0" fillId="0" borderId="5" xfId="0" applyBorder="1" applyAlignment="1" applyProtection="1">
      <alignment horizontal="left"/>
      <protection hidden="1"/>
    </xf>
    <xf numFmtId="0" fontId="0" fillId="3" borderId="39" xfId="0" quotePrefix="1" applyFill="1" applyBorder="1" applyAlignment="1" applyProtection="1">
      <alignment horizontal="center"/>
      <protection hidden="1"/>
    </xf>
    <xf numFmtId="0" fontId="0" fillId="0" borderId="26" xfId="0" applyBorder="1" applyAlignment="1" applyProtection="1">
      <alignment horizontal="left"/>
      <protection hidden="1"/>
    </xf>
    <xf numFmtId="168" fontId="0" fillId="0" borderId="1" xfId="0" applyNumberFormat="1" applyBorder="1" applyProtection="1">
      <protection hidden="1"/>
    </xf>
    <xf numFmtId="168" fontId="0" fillId="0" borderId="3" xfId="0" applyNumberFormat="1" applyBorder="1" applyProtection="1">
      <protection hidden="1"/>
    </xf>
    <xf numFmtId="0" fontId="0" fillId="3" borderId="40" xfId="0" quotePrefix="1" applyFill="1" applyBorder="1" applyAlignment="1" applyProtection="1">
      <alignment horizontal="center"/>
      <protection hidden="1"/>
    </xf>
    <xf numFmtId="0" fontId="0" fillId="3" borderId="12" xfId="0" quotePrefix="1" applyFill="1" applyBorder="1" applyAlignment="1" applyProtection="1">
      <alignment horizontal="center"/>
      <protection hidden="1"/>
    </xf>
    <xf numFmtId="0" fontId="0" fillId="0" borderId="5" xfId="0" quotePrefix="1" applyBorder="1" applyAlignment="1" applyProtection="1">
      <alignment horizontal="left"/>
      <protection hidden="1"/>
    </xf>
    <xf numFmtId="0" fontId="0" fillId="0" borderId="1" xfId="0" quotePrefix="1" applyBorder="1" applyAlignment="1" applyProtection="1">
      <alignment horizontal="right"/>
      <protection hidden="1"/>
    </xf>
    <xf numFmtId="9" fontId="0" fillId="0" borderId="1" xfId="0" applyNumberFormat="1" applyBorder="1" applyAlignment="1" applyProtection="1">
      <alignment horizontal="left"/>
      <protection hidden="1"/>
    </xf>
    <xf numFmtId="0" fontId="0" fillId="0" borderId="27" xfId="0" quotePrefix="1" applyBorder="1" applyProtection="1">
      <protection hidden="1"/>
    </xf>
    <xf numFmtId="0" fontId="0" fillId="0" borderId="31" xfId="0" quotePrefix="1" applyBorder="1" applyProtection="1">
      <protection hidden="1"/>
    </xf>
    <xf numFmtId="0" fontId="0" fillId="4" borderId="28" xfId="0" applyFill="1" applyBorder="1" applyAlignment="1" applyProtection="1">
      <alignment horizontal="center"/>
      <protection hidden="1"/>
    </xf>
    <xf numFmtId="0" fontId="0" fillId="0" borderId="32" xfId="0" applyBorder="1" applyProtection="1">
      <protection hidden="1"/>
    </xf>
    <xf numFmtId="0" fontId="0" fillId="0" borderId="41" xfId="0" quotePrefix="1" applyBorder="1" applyAlignment="1" applyProtection="1">
      <alignment horizontal="right"/>
      <protection hidden="1"/>
    </xf>
    <xf numFmtId="0" fontId="0" fillId="0" borderId="41" xfId="0" applyBorder="1" applyAlignment="1" applyProtection="1">
      <alignment horizontal="right"/>
      <protection hidden="1"/>
    </xf>
    <xf numFmtId="8" fontId="0" fillId="0" borderId="16" xfId="0" applyNumberFormat="1" applyBorder="1" applyAlignment="1" applyProtection="1">
      <alignment horizontal="center"/>
      <protection hidden="1"/>
    </xf>
    <xf numFmtId="8" fontId="0" fillId="0" borderId="42" xfId="0" applyNumberFormat="1" applyBorder="1" applyAlignment="1" applyProtection="1">
      <alignment horizontal="center"/>
      <protection hidden="1"/>
    </xf>
    <xf numFmtId="0" fontId="9" fillId="6" borderId="43" xfId="0" applyFont="1" applyFill="1" applyBorder="1" applyProtection="1">
      <protection hidden="1"/>
    </xf>
    <xf numFmtId="0" fontId="9" fillId="6" borderId="44" xfId="0" applyFont="1" applyFill="1" applyBorder="1" applyAlignment="1" applyProtection="1">
      <alignment horizontal="right"/>
      <protection hidden="1"/>
    </xf>
    <xf numFmtId="0" fontId="0" fillId="3" borderId="14" xfId="0" applyFill="1" applyBorder="1" applyProtection="1">
      <protection hidden="1"/>
    </xf>
    <xf numFmtId="164" fontId="0" fillId="0" borderId="0" xfId="0" applyNumberFormat="1" applyAlignment="1" applyProtection="1">
      <alignment horizontal="center"/>
      <protection hidden="1"/>
    </xf>
    <xf numFmtId="0" fontId="0" fillId="0" borderId="14" xfId="0" applyBorder="1" applyProtection="1">
      <protection hidden="1"/>
    </xf>
    <xf numFmtId="0" fontId="0" fillId="0" borderId="38" xfId="0" quotePrefix="1" applyBorder="1" applyProtection="1">
      <protection hidden="1"/>
    </xf>
    <xf numFmtId="0" fontId="0" fillId="0" borderId="38" xfId="0" applyBorder="1" applyProtection="1">
      <protection hidden="1"/>
    </xf>
    <xf numFmtId="164" fontId="0" fillId="0" borderId="38" xfId="0" applyNumberFormat="1" applyBorder="1" applyAlignment="1" applyProtection="1">
      <alignment horizontal="center"/>
      <protection hidden="1"/>
    </xf>
    <xf numFmtId="0" fontId="0" fillId="0" borderId="35" xfId="0" applyBorder="1" applyProtection="1">
      <protection hidden="1"/>
    </xf>
    <xf numFmtId="0" fontId="0" fillId="0" borderId="15" xfId="0" applyBorder="1" applyProtection="1">
      <protection hidden="1"/>
    </xf>
    <xf numFmtId="164" fontId="0" fillId="0" borderId="15" xfId="0" applyNumberFormat="1" applyBorder="1" applyAlignment="1" applyProtection="1">
      <alignment horizontal="center"/>
      <protection hidden="1"/>
    </xf>
    <xf numFmtId="0" fontId="0" fillId="0" borderId="15" xfId="0" quotePrefix="1" applyBorder="1" applyProtection="1">
      <protection hidden="1"/>
    </xf>
    <xf numFmtId="0" fontId="0" fillId="0" borderId="19" xfId="0" quotePrefix="1" applyBorder="1" applyProtection="1">
      <protection hidden="1"/>
    </xf>
    <xf numFmtId="0" fontId="0" fillId="0" borderId="19" xfId="0" applyBorder="1" applyProtection="1">
      <protection hidden="1"/>
    </xf>
    <xf numFmtId="0" fontId="0" fillId="0" borderId="36" xfId="0" applyBorder="1" applyProtection="1">
      <protection hidden="1"/>
    </xf>
    <xf numFmtId="0" fontId="0" fillId="0" borderId="17" xfId="0" applyBorder="1" applyProtection="1">
      <protection hidden="1"/>
    </xf>
    <xf numFmtId="0" fontId="0" fillId="0" borderId="20" xfId="0" applyBorder="1" applyProtection="1">
      <protection hidden="1"/>
    </xf>
    <xf numFmtId="0" fontId="14" fillId="3" borderId="0" xfId="0" applyFont="1" applyFill="1" applyAlignment="1" applyProtection="1">
      <alignment horizontal="center"/>
      <protection hidden="1"/>
    </xf>
    <xf numFmtId="0" fontId="14" fillId="3" borderId="6" xfId="0" applyFont="1" applyFill="1" applyBorder="1" applyAlignment="1" applyProtection="1">
      <alignment horizontal="center"/>
      <protection hidden="1"/>
    </xf>
    <xf numFmtId="0" fontId="14" fillId="0" borderId="6" xfId="0" applyFont="1" applyBorder="1" applyAlignment="1" applyProtection="1">
      <alignment horizontal="center"/>
      <protection hidden="1"/>
    </xf>
    <xf numFmtId="0" fontId="17" fillId="3" borderId="0" xfId="0" quotePrefix="1" applyFont="1" applyFill="1" applyAlignment="1" applyProtection="1">
      <alignment horizontal="center"/>
      <protection hidden="1"/>
    </xf>
    <xf numFmtId="0" fontId="14" fillId="3" borderId="6" xfId="0" applyFont="1" applyFill="1" applyBorder="1" applyAlignment="1" applyProtection="1">
      <alignment horizontal="left"/>
      <protection hidden="1"/>
    </xf>
    <xf numFmtId="0" fontId="14" fillId="0" borderId="2" xfId="0" quotePrefix="1" applyFont="1" applyBorder="1" applyAlignment="1" applyProtection="1">
      <alignment horizontal="left"/>
      <protection hidden="1"/>
    </xf>
    <xf numFmtId="0" fontId="14" fillId="0" borderId="3" xfId="0" quotePrefix="1" applyFont="1" applyBorder="1" applyAlignment="1" applyProtection="1">
      <alignment horizontal="left"/>
      <protection hidden="1"/>
    </xf>
    <xf numFmtId="0" fontId="18" fillId="3" borderId="0" xfId="0" applyFont="1" applyFill="1" applyAlignment="1" applyProtection="1">
      <alignment horizontal="center"/>
      <protection hidden="1"/>
    </xf>
    <xf numFmtId="0" fontId="0" fillId="3" borderId="0" xfId="0" applyFill="1" applyAlignment="1" applyProtection="1">
      <alignment horizontal="center"/>
      <protection hidden="1"/>
    </xf>
    <xf numFmtId="0" fontId="11" fillId="3" borderId="2" xfId="0" quotePrefix="1" applyFont="1" applyFill="1" applyBorder="1" applyAlignment="1" applyProtection="1">
      <alignment horizontal="center"/>
      <protection hidden="1"/>
    </xf>
    <xf numFmtId="0" fontId="11" fillId="3" borderId="18" xfId="0" quotePrefix="1" applyFont="1" applyFill="1" applyBorder="1" applyAlignment="1" applyProtection="1">
      <alignment horizontal="center"/>
      <protection hidden="1"/>
    </xf>
    <xf numFmtId="0" fontId="11" fillId="3" borderId="3" xfId="0" quotePrefix="1" applyFont="1" applyFill="1" applyBorder="1" applyAlignment="1" applyProtection="1">
      <alignment horizontal="center"/>
      <protection hidden="1"/>
    </xf>
    <xf numFmtId="0" fontId="10" fillId="0" borderId="26" xfId="0" quotePrefix="1" applyFont="1" applyBorder="1" applyAlignment="1" applyProtection="1">
      <alignment horizontal="center"/>
      <protection hidden="1"/>
    </xf>
    <xf numFmtId="0" fontId="10" fillId="0" borderId="32" xfId="0" quotePrefix="1" applyFont="1" applyBorder="1" applyAlignment="1" applyProtection="1">
      <alignment horizontal="center"/>
      <protection hidden="1"/>
    </xf>
    <xf numFmtId="0" fontId="10" fillId="0" borderId="29" xfId="0" quotePrefix="1" applyFont="1" applyBorder="1" applyAlignment="1" applyProtection="1">
      <alignment horizontal="center"/>
      <protection hidden="1"/>
    </xf>
    <xf numFmtId="0" fontId="0" fillId="4" borderId="9" xfId="0" applyFill="1" applyBorder="1" applyAlignment="1" applyProtection="1">
      <alignment horizontal="center" vertical="center" wrapText="1"/>
      <protection hidden="1"/>
    </xf>
    <xf numFmtId="0" fontId="0" fillId="4" borderId="55" xfId="0" applyFill="1" applyBorder="1" applyAlignment="1" applyProtection="1">
      <alignment horizontal="center" vertical="center" wrapText="1"/>
      <protection hidden="1"/>
    </xf>
    <xf numFmtId="4" fontId="0" fillId="5" borderId="13" xfId="0" applyNumberFormat="1" applyFill="1" applyBorder="1" applyAlignment="1" applyProtection="1">
      <alignment horizontal="center"/>
      <protection hidden="1"/>
    </xf>
    <xf numFmtId="4" fontId="0" fillId="5" borderId="56" xfId="0" applyNumberFormat="1" applyFill="1" applyBorder="1" applyAlignment="1" applyProtection="1">
      <alignment horizontal="center"/>
      <protection hidden="1"/>
    </xf>
    <xf numFmtId="0" fontId="0" fillId="3" borderId="6" xfId="0" quotePrefix="1" applyFill="1" applyBorder="1" applyAlignment="1" applyProtection="1">
      <alignment horizontal="center"/>
      <protection hidden="1"/>
    </xf>
    <xf numFmtId="0" fontId="0" fillId="3" borderId="33" xfId="0" applyFill="1" applyBorder="1" applyAlignment="1" applyProtection="1">
      <alignment horizontal="center"/>
      <protection hidden="1"/>
    </xf>
    <xf numFmtId="0" fontId="0" fillId="3" borderId="53" xfId="0" applyFill="1" applyBorder="1" applyAlignment="1" applyProtection="1">
      <alignment horizontal="center"/>
      <protection hidden="1"/>
    </xf>
    <xf numFmtId="0" fontId="0" fillId="3" borderId="41" xfId="0" applyFill="1" applyBorder="1" applyAlignment="1" applyProtection="1">
      <alignment horizontal="center"/>
      <protection hidden="1"/>
    </xf>
    <xf numFmtId="0" fontId="0" fillId="3" borderId="6" xfId="0" applyFill="1" applyBorder="1" applyAlignment="1" applyProtection="1">
      <alignment horizontal="center"/>
      <protection hidden="1"/>
    </xf>
    <xf numFmtId="0" fontId="0" fillId="3" borderId="54" xfId="0" applyFill="1" applyBorder="1" applyAlignment="1" applyProtection="1">
      <alignment horizontal="center"/>
      <protection hidden="1"/>
    </xf>
    <xf numFmtId="0" fontId="7" fillId="8" borderId="39" xfId="0" applyFont="1" applyFill="1" applyBorder="1" applyAlignment="1" applyProtection="1">
      <alignment horizontal="center"/>
      <protection hidden="1"/>
    </xf>
    <xf numFmtId="0" fontId="7" fillId="8" borderId="33" xfId="0" applyFont="1" applyFill="1" applyBorder="1" applyAlignment="1" applyProtection="1">
      <alignment horizontal="center"/>
      <protection hidden="1"/>
    </xf>
    <xf numFmtId="0" fontId="7" fillId="8" borderId="53" xfId="0" applyFont="1" applyFill="1" applyBorder="1" applyAlignment="1" applyProtection="1">
      <alignment horizontal="center"/>
      <protection hidden="1"/>
    </xf>
    <xf numFmtId="0" fontId="7" fillId="8" borderId="30" xfId="0" quotePrefix="1" applyFont="1" applyFill="1" applyBorder="1" applyAlignment="1" applyProtection="1">
      <alignment horizontal="center"/>
      <protection hidden="1"/>
    </xf>
    <xf numFmtId="0" fontId="7" fillId="8" borderId="52" xfId="0" quotePrefix="1" applyFont="1" applyFill="1" applyBorder="1" applyAlignment="1" applyProtection="1">
      <alignment horizontal="center"/>
      <protection hidden="1"/>
    </xf>
    <xf numFmtId="0" fontId="7" fillId="8" borderId="46" xfId="0" quotePrefix="1" applyFont="1" applyFill="1" applyBorder="1" applyAlignment="1" applyProtection="1">
      <alignment horizontal="center"/>
      <protection hidden="1"/>
    </xf>
    <xf numFmtId="0" fontId="0" fillId="3" borderId="33" xfId="0" quotePrefix="1" applyFill="1" applyBorder="1" applyAlignment="1" applyProtection="1">
      <alignment horizontal="center"/>
      <protection hidden="1"/>
    </xf>
    <xf numFmtId="0" fontId="0" fillId="3" borderId="0" xfId="0" quotePrefix="1" applyFill="1" applyAlignment="1" applyProtection="1">
      <alignment horizontal="center"/>
      <protection hidden="1"/>
    </xf>
    <xf numFmtId="0" fontId="0" fillId="0" borderId="0" xfId="0" applyAlignment="1">
      <alignment horizontal="center"/>
    </xf>
    <xf numFmtId="0" fontId="0" fillId="0" borderId="6" xfId="0" applyBorder="1" applyAlignment="1">
      <alignment horizontal="center"/>
    </xf>
    <xf numFmtId="0" fontId="0" fillId="0" borderId="33" xfId="0" applyBorder="1" applyAlignment="1">
      <alignment horizontal="center"/>
    </xf>
    <xf numFmtId="179" fontId="0" fillId="3" borderId="37" xfId="3" applyNumberFormat="1" applyFont="1" applyFill="1" applyBorder="1" applyAlignment="1" applyProtection="1">
      <alignment horizontal="center"/>
      <protection locked="0"/>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0</xdr:row>
      <xdr:rowOff>123825</xdr:rowOff>
    </xdr:from>
    <xdr:to>
      <xdr:col>14</xdr:col>
      <xdr:colOff>152400</xdr:colOff>
      <xdr:row>33</xdr:row>
      <xdr:rowOff>133350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3924"/>
        <a:stretch/>
      </xdr:blipFill>
      <xdr:spPr bwMode="auto">
        <a:xfrm>
          <a:off x="495300" y="123825"/>
          <a:ext cx="8191500" cy="6296025"/>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9</xdr:col>
      <xdr:colOff>590550</xdr:colOff>
      <xdr:row>14</xdr:row>
      <xdr:rowOff>66675</xdr:rowOff>
    </xdr:from>
    <xdr:to>
      <xdr:col>12</xdr:col>
      <xdr:colOff>304800</xdr:colOff>
      <xdr:row>19</xdr:row>
      <xdr:rowOff>95250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39" t="30378" r="13023" b="54651"/>
        <a:stretch/>
      </xdr:blipFill>
      <xdr:spPr bwMode="auto">
        <a:xfrm>
          <a:off x="6076950" y="2733675"/>
          <a:ext cx="1543050" cy="981075"/>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10</xdr:col>
      <xdr:colOff>95250</xdr:colOff>
      <xdr:row>11</xdr:row>
      <xdr:rowOff>38100</xdr:rowOff>
    </xdr:from>
    <xdr:to>
      <xdr:col>12</xdr:col>
      <xdr:colOff>295275</xdr:colOff>
      <xdr:row>12</xdr:row>
      <xdr:rowOff>114300</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6191250" y="2133600"/>
          <a:ext cx="1419225" cy="2667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10</xdr:col>
      <xdr:colOff>257175</xdr:colOff>
      <xdr:row>11</xdr:row>
      <xdr:rowOff>66675</xdr:rowOff>
    </xdr:from>
    <xdr:ext cx="1258614" cy="227626"/>
    <xdr:sp macro="[0]!ThisWorkbook.SR_Fees" textlink="">
      <xdr:nvSpPr>
        <xdr:cNvPr id="4" name="TextBox 3">
          <a:extLst>
            <a:ext uri="{FF2B5EF4-FFF2-40B4-BE49-F238E27FC236}">
              <a16:creationId xmlns:a16="http://schemas.microsoft.com/office/drawing/2014/main" id="{00000000-0008-0000-0000-000004000000}"/>
            </a:ext>
          </a:extLst>
        </xdr:cNvPr>
        <xdr:cNvSpPr txBox="1"/>
      </xdr:nvSpPr>
      <xdr:spPr>
        <a:xfrm>
          <a:off x="6353175" y="2162175"/>
          <a:ext cx="1258614" cy="227626"/>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tIns="27432" bIns="27432" rtlCol="0" anchor="t">
          <a:spAutoFit/>
        </a:bodyPr>
        <a:lstStyle/>
        <a:p>
          <a:r>
            <a:rPr lang="en-US" sz="1100"/>
            <a:t>Sky</a:t>
          </a:r>
          <a:r>
            <a:rPr lang="en-US" sz="1100" baseline="0"/>
            <a:t> Ranch Services</a:t>
          </a:r>
          <a:endParaRPr lang="en-US" sz="1100"/>
        </a:p>
      </xdr:txBody>
    </xdr:sp>
    <xdr:clientData/>
  </xdr:oneCellAnchor>
  <xdr:twoCellAnchor>
    <xdr:from>
      <xdr:col>10</xdr:col>
      <xdr:colOff>95250</xdr:colOff>
      <xdr:row>12</xdr:row>
      <xdr:rowOff>171450</xdr:rowOff>
    </xdr:from>
    <xdr:to>
      <xdr:col>12</xdr:col>
      <xdr:colOff>295275</xdr:colOff>
      <xdr:row>14</xdr:row>
      <xdr:rowOff>57150</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6191250" y="2457450"/>
          <a:ext cx="1419225" cy="2667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10</xdr:col>
      <xdr:colOff>257175</xdr:colOff>
      <xdr:row>13</xdr:row>
      <xdr:rowOff>9525</xdr:rowOff>
    </xdr:from>
    <xdr:ext cx="1258614" cy="227626"/>
    <xdr:sp macro="[0]!ThisWorkbook.Other_Areas" textlink="">
      <xdr:nvSpPr>
        <xdr:cNvPr id="8" name="TextBox 7">
          <a:extLst>
            <a:ext uri="{FF2B5EF4-FFF2-40B4-BE49-F238E27FC236}">
              <a16:creationId xmlns:a16="http://schemas.microsoft.com/office/drawing/2014/main" id="{00000000-0008-0000-0000-000008000000}"/>
            </a:ext>
          </a:extLst>
        </xdr:cNvPr>
        <xdr:cNvSpPr txBox="1"/>
      </xdr:nvSpPr>
      <xdr:spPr>
        <a:xfrm>
          <a:off x="6353175" y="2486025"/>
          <a:ext cx="1258614" cy="227626"/>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tIns="27432" bIns="27432" rtlCol="0" anchor="t">
          <a:noAutofit/>
        </a:bodyPr>
        <a:lstStyle/>
        <a:p>
          <a:pPr algn="ctr"/>
          <a:r>
            <a:rPr lang="en-US" sz="1100" baseline="0"/>
            <a:t>Other Service Areas</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723750</xdr:colOff>
      <xdr:row>0</xdr:row>
      <xdr:rowOff>168089</xdr:rowOff>
    </xdr:from>
    <xdr:to>
      <xdr:col>15</xdr:col>
      <xdr:colOff>220735</xdr:colOff>
      <xdr:row>4</xdr:row>
      <xdr:rowOff>168088</xdr:rowOff>
    </xdr:to>
    <xdr:pic>
      <xdr:nvPicPr>
        <xdr:cNvPr id="2" name="Picture 1">
          <a:extLst>
            <a:ext uri="{FF2B5EF4-FFF2-40B4-BE49-F238E27FC236}">
              <a16:creationId xmlns:a16="http://schemas.microsoft.com/office/drawing/2014/main" id="{C014EC7B-617E-43D0-926E-0089762FE0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81475" y="168089"/>
          <a:ext cx="3183160" cy="11429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0</xdr:row>
      <xdr:rowOff>2381</xdr:rowOff>
    </xdr:from>
    <xdr:to>
      <xdr:col>17</xdr:col>
      <xdr:colOff>488156</xdr:colOff>
      <xdr:row>0</xdr:row>
      <xdr:rowOff>276701</xdr:rowOff>
    </xdr:to>
    <xdr:sp macro="" textlink="">
      <xdr:nvSpPr>
        <xdr:cNvPr id="3" name="Rectangle 2">
          <a:extLst>
            <a:ext uri="{FF2B5EF4-FFF2-40B4-BE49-F238E27FC236}">
              <a16:creationId xmlns:a16="http://schemas.microsoft.com/office/drawing/2014/main" id="{0C8F09CD-DBBC-4B09-89EB-B05652BC533F}"/>
            </a:ext>
          </a:extLst>
        </xdr:cNvPr>
        <xdr:cNvSpPr/>
      </xdr:nvSpPr>
      <xdr:spPr>
        <a:xfrm>
          <a:off x="381000" y="2381"/>
          <a:ext cx="11648281" cy="27432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388939</xdr:colOff>
      <xdr:row>86</xdr:row>
      <xdr:rowOff>63500</xdr:rowOff>
    </xdr:from>
    <xdr:to>
      <xdr:col>17</xdr:col>
      <xdr:colOff>468314</xdr:colOff>
      <xdr:row>87</xdr:row>
      <xdr:rowOff>153670</xdr:rowOff>
    </xdr:to>
    <xdr:sp macro="" textlink="">
      <xdr:nvSpPr>
        <xdr:cNvPr id="11" name="Rectangle 10">
          <a:extLst>
            <a:ext uri="{FF2B5EF4-FFF2-40B4-BE49-F238E27FC236}">
              <a16:creationId xmlns:a16="http://schemas.microsoft.com/office/drawing/2014/main" id="{A09C78E1-EB4A-405C-B136-71B190358F3B}"/>
            </a:ext>
          </a:extLst>
        </xdr:cNvPr>
        <xdr:cNvSpPr/>
      </xdr:nvSpPr>
      <xdr:spPr>
        <a:xfrm>
          <a:off x="388939" y="11624469"/>
          <a:ext cx="11620500" cy="272732"/>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9176</xdr:colOff>
      <xdr:row>0</xdr:row>
      <xdr:rowOff>2</xdr:rowOff>
    </xdr:from>
    <xdr:to>
      <xdr:col>1</xdr:col>
      <xdr:colOff>50663</xdr:colOff>
      <xdr:row>97</xdr:row>
      <xdr:rowOff>89651</xdr:rowOff>
    </xdr:to>
    <xdr:sp macro="" textlink="">
      <xdr:nvSpPr>
        <xdr:cNvPr id="13" name="Rectangle 12">
          <a:extLst>
            <a:ext uri="{FF2B5EF4-FFF2-40B4-BE49-F238E27FC236}">
              <a16:creationId xmlns:a16="http://schemas.microsoft.com/office/drawing/2014/main" id="{97065845-3410-4AF0-9AF0-06005669E9E1}"/>
            </a:ext>
          </a:extLst>
        </xdr:cNvPr>
        <xdr:cNvSpPr/>
      </xdr:nvSpPr>
      <xdr:spPr>
        <a:xfrm rot="5400000">
          <a:off x="-7774979" y="7784157"/>
          <a:ext cx="15856325" cy="288016"/>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261199</xdr:colOff>
      <xdr:row>0</xdr:row>
      <xdr:rowOff>0</xdr:rowOff>
    </xdr:from>
    <xdr:to>
      <xdr:col>17</xdr:col>
      <xdr:colOff>535519</xdr:colOff>
      <xdr:row>97</xdr:row>
      <xdr:rowOff>89648</xdr:rowOff>
    </xdr:to>
    <xdr:sp macro="" textlink="">
      <xdr:nvSpPr>
        <xdr:cNvPr id="14" name="Rectangle 13">
          <a:extLst>
            <a:ext uri="{FF2B5EF4-FFF2-40B4-BE49-F238E27FC236}">
              <a16:creationId xmlns:a16="http://schemas.microsoft.com/office/drawing/2014/main" id="{BFE9E0B1-FC68-4D33-A786-D4EA3FFBF4F8}"/>
            </a:ext>
          </a:extLst>
        </xdr:cNvPr>
        <xdr:cNvSpPr/>
      </xdr:nvSpPr>
      <xdr:spPr>
        <a:xfrm rot="5400000">
          <a:off x="4662197" y="7791002"/>
          <a:ext cx="15856324" cy="27432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321469</xdr:colOff>
      <xdr:row>55</xdr:row>
      <xdr:rowOff>133350</xdr:rowOff>
    </xdr:from>
    <xdr:to>
      <xdr:col>17</xdr:col>
      <xdr:colOff>416720</xdr:colOff>
      <xdr:row>56</xdr:row>
      <xdr:rowOff>147320</xdr:rowOff>
    </xdr:to>
    <xdr:sp macro="" textlink="">
      <xdr:nvSpPr>
        <xdr:cNvPr id="15" name="Rectangle 14">
          <a:extLst>
            <a:ext uri="{FF2B5EF4-FFF2-40B4-BE49-F238E27FC236}">
              <a16:creationId xmlns:a16="http://schemas.microsoft.com/office/drawing/2014/main" id="{EC3D1B8E-ED1B-4181-A02C-EF5A82171686}"/>
            </a:ext>
          </a:extLst>
        </xdr:cNvPr>
        <xdr:cNvSpPr/>
      </xdr:nvSpPr>
      <xdr:spPr>
        <a:xfrm>
          <a:off x="321469" y="5415756"/>
          <a:ext cx="11636376" cy="275908"/>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388938</xdr:colOff>
      <xdr:row>69</xdr:row>
      <xdr:rowOff>31750</xdr:rowOff>
    </xdr:from>
    <xdr:to>
      <xdr:col>17</xdr:col>
      <xdr:colOff>456406</xdr:colOff>
      <xdr:row>70</xdr:row>
      <xdr:rowOff>121920</xdr:rowOff>
    </xdr:to>
    <xdr:sp macro="" textlink="">
      <xdr:nvSpPr>
        <xdr:cNvPr id="16" name="Rectangle 15">
          <a:extLst>
            <a:ext uri="{FF2B5EF4-FFF2-40B4-BE49-F238E27FC236}">
              <a16:creationId xmlns:a16="http://schemas.microsoft.com/office/drawing/2014/main" id="{45432370-B8A4-453C-B7BD-2B3FD9294453}"/>
            </a:ext>
          </a:extLst>
        </xdr:cNvPr>
        <xdr:cNvSpPr/>
      </xdr:nvSpPr>
      <xdr:spPr>
        <a:xfrm>
          <a:off x="388938" y="8096250"/>
          <a:ext cx="11608593" cy="272733"/>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12</xdr:col>
      <xdr:colOff>291353</xdr:colOff>
      <xdr:row>1</xdr:row>
      <xdr:rowOff>0</xdr:rowOff>
    </xdr:from>
    <xdr:to>
      <xdr:col>16</xdr:col>
      <xdr:colOff>371044</xdr:colOff>
      <xdr:row>4</xdr:row>
      <xdr:rowOff>281827</xdr:rowOff>
    </xdr:to>
    <xdr:pic>
      <xdr:nvPicPr>
        <xdr:cNvPr id="19" name="Picture 18">
          <a:extLst>
            <a:ext uri="{FF2B5EF4-FFF2-40B4-BE49-F238E27FC236}">
              <a16:creationId xmlns:a16="http://schemas.microsoft.com/office/drawing/2014/main" id="{4E15958E-EC6F-4FFF-A71B-854FDFCEEC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11235" y="291353"/>
          <a:ext cx="3183720" cy="1155886"/>
        </a:xfrm>
        <a:prstGeom prst="rect">
          <a:avLst/>
        </a:prstGeom>
      </xdr:spPr>
    </xdr:pic>
    <xdr:clientData/>
  </xdr:twoCellAnchor>
  <xdr:twoCellAnchor>
    <xdr:from>
      <xdr:col>0</xdr:col>
      <xdr:colOff>243262</xdr:colOff>
      <xdr:row>76</xdr:row>
      <xdr:rowOff>172057</xdr:rowOff>
    </xdr:from>
    <xdr:to>
      <xdr:col>17</xdr:col>
      <xdr:colOff>465512</xdr:colOff>
      <xdr:row>78</xdr:row>
      <xdr:rowOff>71727</xdr:rowOff>
    </xdr:to>
    <xdr:sp macro="" textlink="">
      <xdr:nvSpPr>
        <xdr:cNvPr id="20" name="Rectangle 19">
          <a:extLst>
            <a:ext uri="{FF2B5EF4-FFF2-40B4-BE49-F238E27FC236}">
              <a16:creationId xmlns:a16="http://schemas.microsoft.com/office/drawing/2014/main" id="{00CE6F75-677E-4A87-9691-AB22172540D6}"/>
            </a:ext>
          </a:extLst>
        </xdr:cNvPr>
        <xdr:cNvSpPr/>
      </xdr:nvSpPr>
      <xdr:spPr>
        <a:xfrm>
          <a:off x="243262" y="11635675"/>
          <a:ext cx="12414250" cy="28067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179294</xdr:colOff>
      <xdr:row>96</xdr:row>
      <xdr:rowOff>0</xdr:rowOff>
    </xdr:from>
    <xdr:to>
      <xdr:col>17</xdr:col>
      <xdr:colOff>532862</xdr:colOff>
      <xdr:row>97</xdr:row>
      <xdr:rowOff>90170</xdr:rowOff>
    </xdr:to>
    <xdr:sp macro="" textlink="">
      <xdr:nvSpPr>
        <xdr:cNvPr id="21" name="Rectangle 20">
          <a:extLst>
            <a:ext uri="{FF2B5EF4-FFF2-40B4-BE49-F238E27FC236}">
              <a16:creationId xmlns:a16="http://schemas.microsoft.com/office/drawing/2014/main" id="{7CC30FE5-9F19-4107-9CE4-25C0AFE238D4}"/>
            </a:ext>
          </a:extLst>
        </xdr:cNvPr>
        <xdr:cNvSpPr/>
      </xdr:nvSpPr>
      <xdr:spPr>
        <a:xfrm>
          <a:off x="179294" y="15576176"/>
          <a:ext cx="12545568" cy="28067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1</xdr:rowOff>
    </xdr:from>
    <xdr:to>
      <xdr:col>20</xdr:col>
      <xdr:colOff>446151</xdr:colOff>
      <xdr:row>35</xdr:row>
      <xdr:rowOff>133351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b="30265"/>
        <a:stretch/>
      </xdr:blipFill>
      <xdr:spPr>
        <a:xfrm>
          <a:off x="152400" y="1"/>
          <a:ext cx="12190476" cy="6800850"/>
        </a:xfrm>
        <a:prstGeom prst="rect">
          <a:avLst/>
        </a:prstGeom>
      </xdr:spPr>
    </xdr:pic>
    <xdr:clientData/>
  </xdr:twoCellAnchor>
  <xdr:oneCellAnchor>
    <xdr:from>
      <xdr:col>3</xdr:col>
      <xdr:colOff>571499</xdr:colOff>
      <xdr:row>12</xdr:row>
      <xdr:rowOff>104774</xdr:rowOff>
    </xdr:from>
    <xdr:ext cx="8505825" cy="4324351"/>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105024" y="2390774"/>
          <a:ext cx="8505825" cy="43243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a:p>
          <a:pPr algn="l"/>
          <a:r>
            <a:rPr lang="en-US" sz="2000" b="0" u="none">
              <a:solidFill>
                <a:schemeClr val="accent1"/>
              </a:solidFill>
            </a:rPr>
            <a:t>Service Fees Outside The</a:t>
          </a:r>
          <a:r>
            <a:rPr lang="en-US" sz="2000" b="0" u="none" baseline="0">
              <a:solidFill>
                <a:schemeClr val="accent1"/>
              </a:solidFill>
            </a:rPr>
            <a:t> Sky Ranch Community</a:t>
          </a:r>
          <a:endParaRPr lang="en-US" sz="2000" b="0" u="none">
            <a:solidFill>
              <a:schemeClr val="accent1"/>
            </a:solidFill>
          </a:endParaRPr>
        </a:p>
        <a:p>
          <a:endParaRPr lang="en-US" sz="1100"/>
        </a:p>
        <a:p>
          <a:r>
            <a:rPr lang="en-US" sz="1100"/>
            <a:t>One time connection</a:t>
          </a:r>
          <a:r>
            <a:rPr lang="en-US" sz="1100" baseline="0"/>
            <a:t> fees (Tap Fees) and monthly service fees (Usage Fees) for  areas outside the Sky Ranch Community are calculated on a case-by-case basis. </a:t>
          </a:r>
        </a:p>
        <a:p>
          <a:endParaRPr lang="en-US" sz="1100" baseline="0"/>
        </a:p>
        <a:p>
          <a:r>
            <a:rPr lang="en-US" sz="1100" baseline="0"/>
            <a:t>One can get a idea of the potential range of fees by using the Sky Ranch Service Fee Calculator with an understanding that the Water Resources Changes will be very similar for all communities. However, Potable Water System Charges, Fire Protection Charges, and Sewer System Charges are dependent on the location and configuration of each unique service area. </a:t>
          </a:r>
        </a:p>
        <a:p>
          <a:endParaRPr lang="en-US" sz="1100" baseline="0"/>
        </a:p>
        <a:p>
          <a:r>
            <a:rPr lang="en-US" sz="1100" baseline="0"/>
            <a:t>Select "Contact Us" to request a specific service fee estimate for your area. </a:t>
          </a:r>
          <a:endParaRPr lang="en-US" sz="1100"/>
        </a:p>
      </xdr:txBody>
    </xdr:sp>
    <xdr:clientData/>
  </xdr:oneCellAnchor>
  <xdr:oneCellAnchor>
    <xdr:from>
      <xdr:col>9</xdr:col>
      <xdr:colOff>238124</xdr:colOff>
      <xdr:row>33</xdr:row>
      <xdr:rowOff>66674</xdr:rowOff>
    </xdr:from>
    <xdr:ext cx="1962151" cy="227626"/>
    <xdr:sp macro="[0]!ThisWorkbook.SR_Fees" textlink="">
      <xdr:nvSpPr>
        <xdr:cNvPr id="4" name="TextBox 3">
          <a:extLst>
            <a:ext uri="{FF2B5EF4-FFF2-40B4-BE49-F238E27FC236}">
              <a16:creationId xmlns:a16="http://schemas.microsoft.com/office/drawing/2014/main" id="{00000000-0008-0000-0200-000004000000}"/>
            </a:ext>
          </a:extLst>
        </xdr:cNvPr>
        <xdr:cNvSpPr txBox="1"/>
      </xdr:nvSpPr>
      <xdr:spPr>
        <a:xfrm>
          <a:off x="5429249" y="6353174"/>
          <a:ext cx="1962151" cy="227626"/>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tIns="27432" bIns="27432" rtlCol="0" anchor="t">
          <a:spAutoFit/>
        </a:bodyPr>
        <a:lstStyle/>
        <a:p>
          <a:r>
            <a:rPr lang="en-US" sz="1100"/>
            <a:t>Sky</a:t>
          </a:r>
          <a:r>
            <a:rPr lang="en-US" sz="1100" baseline="0"/>
            <a:t> Ranch Services Calculator</a:t>
          </a:r>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opLeftCell="B1" workbookViewId="0">
      <selection activeCell="P12" sqref="P12"/>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1F5AE-2336-42EE-827E-DB13131760EA}">
  <sheetPr codeName="Sheet7"/>
  <dimension ref="B1:Q62"/>
  <sheetViews>
    <sheetView showGridLines="0" zoomScale="85" zoomScaleNormal="85" workbookViewId="0">
      <selection activeCell="L29" sqref="A1:XFD1048576"/>
    </sheetView>
  </sheetViews>
  <sheetFormatPr defaultColWidth="9" defaultRowHeight="15" x14ac:dyDescent="0.25"/>
  <cols>
    <col min="1" max="1" width="1.140625" style="74" customWidth="1"/>
    <col min="2" max="2" width="5.7109375" style="74" hidden="1" customWidth="1"/>
    <col min="3" max="4" width="2.5703125" style="74" customWidth="1"/>
    <col min="5" max="6" width="10.7109375" style="74" customWidth="1"/>
    <col min="7" max="7" width="7.7109375" style="74" customWidth="1"/>
    <col min="8" max="8" width="11.7109375" style="74" customWidth="1"/>
    <col min="9" max="9" width="13.7109375" style="74" customWidth="1"/>
    <col min="10" max="10" width="12.5703125" style="74" customWidth="1"/>
    <col min="11" max="11" width="9.140625" style="74" customWidth="1"/>
    <col min="12" max="12" width="5.85546875" style="74" customWidth="1"/>
    <col min="13" max="13" width="3.42578125" style="74" customWidth="1"/>
    <col min="14" max="14" width="9.28515625" style="74" customWidth="1"/>
    <col min="15" max="15" width="8.140625" style="74" customWidth="1"/>
    <col min="16" max="16" width="9.5703125" style="74" customWidth="1"/>
    <col min="17" max="17" width="2.7109375" style="74" customWidth="1"/>
    <col min="18" max="22" width="9" style="74"/>
    <col min="23" max="23" width="11.28515625" style="74" customWidth="1"/>
    <col min="24" max="24" width="11.85546875" style="74" customWidth="1"/>
    <col min="25" max="25" width="13" style="74" customWidth="1"/>
    <col min="26" max="26" width="10.7109375" style="74" customWidth="1"/>
    <col min="27" max="27" width="12" style="74" customWidth="1"/>
    <col min="28" max="28" width="4.7109375" style="74" customWidth="1"/>
    <col min="29" max="30" width="15.7109375" style="74" customWidth="1"/>
    <col min="31" max="31" width="4.7109375" style="74" customWidth="1"/>
    <col min="32" max="33" width="15.7109375" style="74" customWidth="1"/>
    <col min="34" max="34" width="4.7109375" style="74" customWidth="1"/>
    <col min="35" max="35" width="23.140625" style="74" customWidth="1"/>
    <col min="36" max="39" width="12.7109375" style="74" customWidth="1"/>
    <col min="40" max="40" width="13.42578125" style="74" customWidth="1"/>
    <col min="41" max="41" width="36.7109375" style="74" customWidth="1"/>
    <col min="42" max="43" width="9" style="74"/>
    <col min="44" max="44" width="4.7109375" style="74" customWidth="1"/>
    <col min="45" max="46" width="15.7109375" style="74" customWidth="1"/>
    <col min="47" max="47" width="10.28515625" style="74" customWidth="1"/>
    <col min="48" max="48" width="19.42578125" style="74" customWidth="1"/>
    <col min="49" max="49" width="18" style="74" customWidth="1"/>
    <col min="50" max="50" width="4.7109375" style="74" customWidth="1"/>
    <col min="51" max="51" width="9" style="74"/>
    <col min="52" max="52" width="12.5703125" style="74" customWidth="1"/>
    <col min="53" max="53" width="4.7109375" style="74" customWidth="1"/>
    <col min="54" max="54" width="9" style="74"/>
    <col min="55" max="55" width="11.85546875" style="74" customWidth="1"/>
    <col min="56" max="58" width="9" style="74"/>
    <col min="59" max="59" width="30.140625" style="74" customWidth="1"/>
    <col min="60" max="16384" width="9" style="74"/>
  </cols>
  <sheetData>
    <row r="1" spans="3:17" ht="22.5" customHeight="1" x14ac:dyDescent="0.25">
      <c r="C1" s="129"/>
      <c r="D1" s="129"/>
      <c r="E1" s="129"/>
      <c r="F1" s="129"/>
      <c r="G1" s="129"/>
      <c r="H1" s="129"/>
      <c r="I1" s="129"/>
      <c r="J1" s="129"/>
      <c r="K1" s="129"/>
      <c r="L1" s="129"/>
      <c r="M1" s="129"/>
      <c r="N1" s="129"/>
      <c r="O1" s="129"/>
      <c r="P1" s="129"/>
      <c r="Q1" s="129"/>
    </row>
    <row r="2" spans="3:17" ht="22.5" customHeight="1" x14ac:dyDescent="0.25">
      <c r="C2" s="129"/>
      <c r="F2" s="141"/>
      <c r="G2" s="141"/>
      <c r="I2" s="141"/>
      <c r="J2" s="141"/>
      <c r="K2" s="141"/>
      <c r="L2" s="141"/>
      <c r="M2" s="141"/>
      <c r="N2" s="141"/>
      <c r="O2" s="141"/>
      <c r="P2" s="141"/>
      <c r="Q2" s="141"/>
    </row>
    <row r="3" spans="3:17" ht="22.5" customHeight="1" x14ac:dyDescent="0.25">
      <c r="C3" s="129"/>
      <c r="F3" s="141"/>
      <c r="G3" s="141"/>
      <c r="I3" s="141"/>
      <c r="J3" s="141"/>
      <c r="K3" s="141"/>
      <c r="L3" s="141"/>
      <c r="M3" s="141"/>
      <c r="N3" s="141"/>
      <c r="O3" s="141"/>
      <c r="P3" s="141"/>
      <c r="Q3" s="141"/>
    </row>
    <row r="4" spans="3:17" ht="22.5" customHeight="1" x14ac:dyDescent="0.25">
      <c r="C4" s="129"/>
      <c r="F4" s="141"/>
      <c r="G4" s="141"/>
      <c r="I4" s="141"/>
      <c r="J4" s="141"/>
      <c r="K4" s="141"/>
      <c r="L4" s="141"/>
      <c r="M4" s="141"/>
      <c r="N4" s="141"/>
      <c r="O4" s="141"/>
      <c r="P4" s="141"/>
      <c r="Q4" s="141"/>
    </row>
    <row r="5" spans="3:17" ht="22.5" customHeight="1" x14ac:dyDescent="0.25">
      <c r="C5" s="129"/>
      <c r="F5" s="141"/>
      <c r="G5" s="141"/>
      <c r="I5" s="141"/>
      <c r="J5" s="141"/>
      <c r="K5" s="141"/>
      <c r="L5" s="141"/>
      <c r="M5" s="141"/>
      <c r="N5" s="141"/>
      <c r="O5" s="141"/>
      <c r="P5" s="141"/>
      <c r="Q5" s="141"/>
    </row>
    <row r="6" spans="3:17" ht="22.5" customHeight="1" x14ac:dyDescent="0.25">
      <c r="C6" s="129"/>
      <c r="F6" s="141"/>
      <c r="G6" s="141"/>
      <c r="I6" s="141"/>
      <c r="J6" s="141"/>
      <c r="K6" s="141"/>
      <c r="L6" s="141"/>
      <c r="M6" s="141"/>
      <c r="N6" s="141"/>
      <c r="O6" s="141"/>
      <c r="P6" s="141"/>
      <c r="Q6" s="141"/>
    </row>
    <row r="7" spans="3:17" ht="45" customHeight="1" x14ac:dyDescent="0.4">
      <c r="C7" s="130"/>
      <c r="D7" s="131"/>
      <c r="G7" s="143" t="s">
        <v>245</v>
      </c>
      <c r="L7" s="142"/>
      <c r="M7" s="142"/>
      <c r="N7" s="142"/>
      <c r="O7" s="142"/>
      <c r="P7" s="142"/>
      <c r="Q7" s="142"/>
    </row>
    <row r="8" spans="3:17" ht="18.75" x14ac:dyDescent="0.3">
      <c r="C8" s="144"/>
      <c r="D8" s="131"/>
      <c r="E8" s="158"/>
      <c r="F8" s="145"/>
      <c r="G8" s="158"/>
      <c r="H8" s="192" t="s">
        <v>271</v>
      </c>
      <c r="J8" s="146"/>
      <c r="K8" s="146"/>
      <c r="L8" s="146"/>
      <c r="M8" s="146"/>
      <c r="N8" s="146"/>
      <c r="O8" s="146"/>
      <c r="P8" s="146"/>
      <c r="Q8" s="131"/>
    </row>
    <row r="9" spans="3:17" ht="18.75" x14ac:dyDescent="0.3">
      <c r="C9" s="147"/>
      <c r="D9" s="131"/>
      <c r="E9" s="159"/>
      <c r="F9" s="160"/>
      <c r="G9" s="160"/>
      <c r="H9" s="160"/>
      <c r="I9" s="160"/>
      <c r="J9" s="161"/>
      <c r="K9" s="162"/>
      <c r="L9" s="163"/>
      <c r="M9" s="160"/>
      <c r="N9" s="160"/>
      <c r="O9" s="160"/>
      <c r="P9" s="160"/>
      <c r="Q9" s="131"/>
    </row>
    <row r="10" spans="3:17" ht="18.75" x14ac:dyDescent="0.3">
      <c r="C10" s="147"/>
      <c r="D10" s="131"/>
      <c r="E10" s="159" t="s">
        <v>233</v>
      </c>
      <c r="F10" s="301">
        <v>2026</v>
      </c>
      <c r="G10" s="301"/>
      <c r="H10" s="160"/>
      <c r="I10" s="160"/>
      <c r="J10" s="164"/>
      <c r="K10" s="165"/>
      <c r="L10" s="166"/>
      <c r="M10" s="160"/>
      <c r="N10" s="160"/>
      <c r="O10" s="160"/>
      <c r="P10" s="160"/>
      <c r="Q10" s="131"/>
    </row>
    <row r="11" spans="3:17" ht="20.45" customHeight="1" x14ac:dyDescent="0.3">
      <c r="C11" s="147"/>
      <c r="D11" s="131"/>
      <c r="E11" s="159"/>
      <c r="F11" s="160"/>
      <c r="G11" s="160"/>
      <c r="H11" s="160"/>
      <c r="I11" s="160"/>
      <c r="J11" s="160"/>
      <c r="K11" s="160"/>
      <c r="L11" s="160"/>
      <c r="M11" s="160"/>
      <c r="N11" s="160"/>
      <c r="O11" s="160"/>
      <c r="P11" s="160"/>
      <c r="Q11" s="131"/>
    </row>
    <row r="12" spans="3:17" ht="20.45" customHeight="1" x14ac:dyDescent="0.3">
      <c r="C12" s="147"/>
      <c r="D12" s="131"/>
      <c r="E12" s="159" t="s">
        <v>234</v>
      </c>
      <c r="F12" s="167"/>
      <c r="G12" s="304" t="s">
        <v>278</v>
      </c>
      <c r="H12" s="304"/>
      <c r="I12" s="304"/>
      <c r="J12" s="304"/>
      <c r="K12" s="304"/>
      <c r="L12" s="304"/>
      <c r="M12" s="158"/>
      <c r="N12" s="159"/>
      <c r="O12" s="300"/>
      <c r="P12" s="300"/>
      <c r="Q12" s="131"/>
    </row>
    <row r="13" spans="3:17" ht="18.75" x14ac:dyDescent="0.3">
      <c r="C13" s="147"/>
      <c r="D13" s="131"/>
      <c r="E13" s="159"/>
      <c r="F13" s="160"/>
      <c r="G13" s="160"/>
      <c r="H13" s="160"/>
      <c r="I13" s="160"/>
      <c r="J13" s="160"/>
      <c r="K13" s="160"/>
      <c r="L13" s="160"/>
      <c r="M13" s="160"/>
      <c r="N13" s="160"/>
      <c r="O13" s="160"/>
      <c r="P13" s="160"/>
      <c r="Q13" s="131"/>
    </row>
    <row r="14" spans="3:17" ht="18.75" x14ac:dyDescent="0.3">
      <c r="C14" s="147"/>
      <c r="D14" s="131"/>
      <c r="E14" s="159" t="s">
        <v>246</v>
      </c>
      <c r="F14" s="160"/>
      <c r="G14" s="160"/>
      <c r="H14" s="301"/>
      <c r="I14" s="301"/>
      <c r="J14" s="160"/>
      <c r="K14" s="160"/>
      <c r="L14" s="160"/>
      <c r="M14" s="160"/>
      <c r="N14" s="160"/>
      <c r="O14" s="160"/>
      <c r="P14" s="160"/>
      <c r="Q14" s="131"/>
    </row>
    <row r="15" spans="3:17" ht="18.75" x14ac:dyDescent="0.3">
      <c r="C15" s="147"/>
      <c r="D15" s="131"/>
      <c r="E15" s="159"/>
      <c r="F15" s="160"/>
      <c r="G15" s="160"/>
      <c r="H15" s="168"/>
      <c r="I15" s="168"/>
      <c r="J15" s="160"/>
      <c r="K15" s="160"/>
      <c r="L15" s="160"/>
      <c r="M15" s="160"/>
      <c r="N15" s="160"/>
      <c r="O15" s="160"/>
      <c r="P15" s="160"/>
      <c r="Q15" s="131"/>
    </row>
    <row r="16" spans="3:17" ht="18.75" x14ac:dyDescent="0.3">
      <c r="C16" s="147"/>
      <c r="D16" s="131"/>
      <c r="E16" s="159" t="s">
        <v>270</v>
      </c>
      <c r="F16" s="160"/>
      <c r="G16" s="160"/>
      <c r="H16" s="301"/>
      <c r="I16" s="301"/>
      <c r="J16" s="160"/>
      <c r="K16" s="160"/>
      <c r="L16" s="160"/>
      <c r="M16" s="160"/>
      <c r="N16" s="160"/>
      <c r="O16" s="160"/>
      <c r="P16" s="160"/>
      <c r="Q16" s="131"/>
    </row>
    <row r="17" spans="3:17" ht="18.75" x14ac:dyDescent="0.3">
      <c r="C17" s="147"/>
      <c r="D17" s="131"/>
      <c r="E17" s="169"/>
      <c r="F17" s="160"/>
      <c r="G17" s="160"/>
      <c r="H17" s="160"/>
      <c r="I17" s="160"/>
      <c r="J17" s="160"/>
      <c r="K17" s="160"/>
      <c r="L17" s="160"/>
      <c r="M17" s="160"/>
      <c r="N17" s="160"/>
      <c r="O17" s="160"/>
      <c r="P17" s="160"/>
      <c r="Q17" s="131"/>
    </row>
    <row r="18" spans="3:17" ht="18.75" x14ac:dyDescent="0.3">
      <c r="C18" s="147"/>
      <c r="D18" s="131"/>
      <c r="E18" s="159" t="s">
        <v>237</v>
      </c>
      <c r="F18" s="170"/>
      <c r="G18" s="170"/>
      <c r="H18" s="170"/>
      <c r="I18" s="170"/>
      <c r="J18" s="301"/>
      <c r="K18" s="301"/>
      <c r="L18" s="301"/>
      <c r="M18" s="301"/>
      <c r="N18" s="301"/>
      <c r="O18" s="160"/>
      <c r="P18" s="160"/>
      <c r="Q18" s="131"/>
    </row>
    <row r="19" spans="3:17" ht="18.75" x14ac:dyDescent="0.3">
      <c r="C19" s="147"/>
      <c r="D19" s="131"/>
      <c r="E19" s="169"/>
      <c r="F19" s="160"/>
      <c r="G19" s="160"/>
      <c r="H19" s="160"/>
      <c r="I19" s="160"/>
      <c r="J19" s="160"/>
      <c r="K19" s="160"/>
      <c r="L19" s="160"/>
      <c r="M19" s="160"/>
      <c r="N19" s="160"/>
      <c r="O19" s="160"/>
      <c r="P19" s="160"/>
      <c r="Q19" s="131"/>
    </row>
    <row r="20" spans="3:17" ht="18.75" x14ac:dyDescent="0.3">
      <c r="C20" s="147"/>
      <c r="D20" s="131"/>
      <c r="E20" s="159" t="s">
        <v>235</v>
      </c>
      <c r="F20" s="170"/>
      <c r="G20" s="170"/>
      <c r="H20" s="170"/>
      <c r="I20" s="170"/>
      <c r="J20" s="301"/>
      <c r="K20" s="301"/>
      <c r="L20" s="301"/>
      <c r="M20" s="301"/>
      <c r="N20" s="301"/>
      <c r="O20" s="170"/>
      <c r="P20" s="170"/>
      <c r="Q20" s="131"/>
    </row>
    <row r="21" spans="3:17" ht="18.75" x14ac:dyDescent="0.3">
      <c r="C21" s="147"/>
      <c r="D21" s="131"/>
      <c r="E21" s="171"/>
      <c r="F21" s="172"/>
      <c r="G21" s="173"/>
      <c r="H21" s="173"/>
      <c r="I21" s="174"/>
      <c r="J21" s="172"/>
      <c r="K21" s="172"/>
      <c r="L21" s="160"/>
      <c r="M21" s="160"/>
      <c r="N21" s="160"/>
      <c r="O21" s="173"/>
      <c r="P21" s="175"/>
      <c r="Q21" s="131"/>
    </row>
    <row r="22" spans="3:17" ht="18.75" x14ac:dyDescent="0.3">
      <c r="C22" s="147"/>
      <c r="D22" s="131"/>
      <c r="E22" s="159" t="s">
        <v>236</v>
      </c>
      <c r="F22" s="172"/>
      <c r="G22" s="173"/>
      <c r="H22" s="173"/>
      <c r="I22" s="174"/>
      <c r="J22" s="302"/>
      <c r="K22" s="302"/>
      <c r="L22" s="302"/>
      <c r="M22" s="302"/>
      <c r="N22" s="302"/>
      <c r="O22" s="173"/>
      <c r="P22" s="175"/>
      <c r="Q22" s="131"/>
    </row>
    <row r="23" spans="3:17" ht="18.75" x14ac:dyDescent="0.3">
      <c r="C23" s="147"/>
      <c r="D23" s="131"/>
      <c r="E23" s="159"/>
      <c r="F23" s="172"/>
      <c r="G23" s="173"/>
      <c r="H23" s="173"/>
      <c r="I23" s="174"/>
      <c r="J23" s="168"/>
      <c r="K23" s="168"/>
      <c r="L23" s="168"/>
      <c r="M23" s="168"/>
      <c r="N23" s="160"/>
      <c r="O23" s="173"/>
      <c r="P23" s="175"/>
      <c r="Q23" s="131"/>
    </row>
    <row r="24" spans="3:17" ht="18.75" x14ac:dyDescent="0.3">
      <c r="C24" s="147"/>
      <c r="D24" s="131"/>
      <c r="E24" s="159"/>
      <c r="F24" s="172"/>
      <c r="G24" s="173"/>
      <c r="H24" s="173"/>
      <c r="I24" s="174"/>
      <c r="J24" s="168"/>
      <c r="K24" s="168"/>
      <c r="L24" s="168"/>
      <c r="M24" s="168"/>
      <c r="N24" s="160"/>
      <c r="O24" s="173"/>
      <c r="P24" s="175"/>
      <c r="Q24" s="131"/>
    </row>
    <row r="25" spans="3:17" ht="18.75" x14ac:dyDescent="0.3">
      <c r="C25" s="147"/>
      <c r="D25" s="131"/>
      <c r="E25" s="303" t="s">
        <v>247</v>
      </c>
      <c r="F25" s="303"/>
      <c r="G25" s="303"/>
      <c r="H25" s="303"/>
      <c r="I25" s="303"/>
      <c r="J25" s="168"/>
      <c r="K25" s="168"/>
      <c r="L25" s="168"/>
      <c r="M25" s="168"/>
      <c r="N25" s="160"/>
      <c r="O25" s="173"/>
      <c r="P25" s="175"/>
      <c r="Q25" s="131"/>
    </row>
    <row r="26" spans="3:17" ht="18.75" x14ac:dyDescent="0.3">
      <c r="C26" s="147"/>
      <c r="D26" s="131"/>
      <c r="E26" s="303" t="s">
        <v>248</v>
      </c>
      <c r="F26" s="303"/>
      <c r="G26" s="303"/>
      <c r="H26" s="303"/>
      <c r="I26" s="303"/>
      <c r="J26" s="168"/>
      <c r="K26" s="168"/>
      <c r="L26" s="168"/>
      <c r="M26" s="168"/>
      <c r="N26" s="160"/>
      <c r="O26" s="173"/>
      <c r="P26" s="175"/>
      <c r="Q26" s="131"/>
    </row>
    <row r="27" spans="3:17" ht="7.5" customHeight="1" thickBot="1" x14ac:dyDescent="0.35">
      <c r="C27" s="147"/>
      <c r="D27" s="131"/>
      <c r="E27" s="176"/>
      <c r="F27" s="172"/>
      <c r="G27" s="173"/>
      <c r="H27" s="173"/>
      <c r="I27" s="174"/>
      <c r="J27" s="168"/>
      <c r="K27" s="168"/>
      <c r="L27" s="168"/>
      <c r="M27" s="168"/>
      <c r="N27" s="160"/>
      <c r="O27" s="173"/>
      <c r="P27" s="175"/>
      <c r="Q27" s="131"/>
    </row>
    <row r="28" spans="3:17" ht="18.75" x14ac:dyDescent="0.3">
      <c r="C28" s="147"/>
      <c r="D28" s="131"/>
      <c r="E28" s="177" t="s">
        <v>249</v>
      </c>
      <c r="F28" s="178"/>
      <c r="G28" s="179"/>
      <c r="H28" s="179"/>
      <c r="I28" s="180">
        <f>'Tap Calculator'!H50</f>
        <v>1</v>
      </c>
      <c r="J28" s="168"/>
      <c r="K28" s="168"/>
      <c r="L28" s="168"/>
      <c r="M28" s="168"/>
      <c r="N28" s="160"/>
      <c r="O28" s="173"/>
      <c r="P28" s="175"/>
      <c r="Q28" s="131"/>
    </row>
    <row r="29" spans="3:17" ht="18.75" x14ac:dyDescent="0.3">
      <c r="C29" s="147"/>
      <c r="D29" s="131"/>
      <c r="E29" s="181" t="s">
        <v>272</v>
      </c>
      <c r="F29" s="172"/>
      <c r="G29" s="173"/>
      <c r="H29" s="173"/>
      <c r="I29" s="182">
        <f>'Tap Calculator'!J50</f>
        <v>35230</v>
      </c>
      <c r="J29" s="168"/>
      <c r="K29" s="168"/>
      <c r="L29" s="168"/>
      <c r="M29" s="168"/>
      <c r="N29" s="160"/>
      <c r="O29" s="173"/>
      <c r="P29" s="175"/>
      <c r="Q29" s="131"/>
    </row>
    <row r="30" spans="3:17" ht="18.75" x14ac:dyDescent="0.3">
      <c r="C30" s="147"/>
      <c r="D30" s="131"/>
      <c r="E30" s="181" t="s">
        <v>250</v>
      </c>
      <c r="F30" s="172"/>
      <c r="G30" s="173"/>
      <c r="H30" s="173"/>
      <c r="I30" s="182">
        <f>'Tap Calculator'!I55</f>
        <v>8490</v>
      </c>
      <c r="J30" s="168"/>
      <c r="K30" s="168"/>
      <c r="L30" s="168"/>
      <c r="M30" s="168"/>
      <c r="N30" s="160"/>
      <c r="O30" s="173"/>
      <c r="P30" s="175"/>
      <c r="Q30" s="131"/>
    </row>
    <row r="31" spans="3:17" ht="18.75" x14ac:dyDescent="0.3">
      <c r="C31" s="147"/>
      <c r="D31" s="131"/>
      <c r="E31" s="181" t="s">
        <v>253</v>
      </c>
      <c r="F31" s="172"/>
      <c r="G31" s="173"/>
      <c r="H31" s="173"/>
      <c r="I31" s="182">
        <v>518</v>
      </c>
      <c r="J31" s="168"/>
      <c r="K31" s="168"/>
      <c r="L31" s="168"/>
      <c r="M31" s="168"/>
      <c r="N31" s="160"/>
      <c r="O31" s="173"/>
      <c r="P31" s="175"/>
      <c r="Q31" s="131"/>
    </row>
    <row r="32" spans="3:17" ht="18.75" x14ac:dyDescent="0.3">
      <c r="C32" s="147"/>
      <c r="D32" s="131"/>
      <c r="E32" s="181" t="s">
        <v>254</v>
      </c>
      <c r="F32" s="172"/>
      <c r="G32" s="173"/>
      <c r="H32" s="173"/>
      <c r="I32" s="182">
        <v>150</v>
      </c>
      <c r="J32" s="168"/>
      <c r="K32" s="168"/>
      <c r="L32" s="168"/>
      <c r="M32" s="168"/>
      <c r="N32" s="160"/>
      <c r="O32" s="173"/>
      <c r="P32" s="175"/>
      <c r="Q32" s="131"/>
    </row>
    <row r="33" spans="3:17" ht="19.5" thickBot="1" x14ac:dyDescent="0.35">
      <c r="C33" s="147"/>
      <c r="D33" s="131"/>
      <c r="E33" s="183" t="s">
        <v>251</v>
      </c>
      <c r="F33" s="184"/>
      <c r="G33" s="185"/>
      <c r="H33" s="185"/>
      <c r="I33" s="186">
        <f>SUM(I29:I32)</f>
        <v>44388</v>
      </c>
      <c r="J33" s="168"/>
      <c r="K33" s="168"/>
      <c r="L33" s="168"/>
      <c r="M33" s="168"/>
      <c r="N33" s="160"/>
      <c r="O33" s="173"/>
      <c r="P33" s="175"/>
      <c r="Q33" s="131"/>
    </row>
    <row r="34" spans="3:17" ht="21" x14ac:dyDescent="0.35">
      <c r="C34" s="147"/>
      <c r="D34" s="131"/>
      <c r="E34" s="149"/>
      <c r="F34" s="140"/>
      <c r="G34" s="139"/>
      <c r="H34" s="139"/>
      <c r="I34" s="187"/>
      <c r="J34" s="188"/>
      <c r="K34" s="188"/>
      <c r="L34" s="188"/>
      <c r="M34" s="188"/>
      <c r="N34" s="131"/>
      <c r="O34" s="139"/>
      <c r="P34" s="135"/>
      <c r="Q34" s="131"/>
    </row>
    <row r="35" spans="3:17" ht="21" x14ac:dyDescent="0.35">
      <c r="C35" s="147"/>
      <c r="D35" s="160" t="s">
        <v>252</v>
      </c>
      <c r="E35" s="149"/>
      <c r="F35" s="140"/>
      <c r="G35" s="139"/>
      <c r="H35" s="139"/>
      <c r="I35" s="187"/>
      <c r="J35" s="188"/>
      <c r="K35" s="188"/>
      <c r="L35" s="188"/>
      <c r="M35" s="188"/>
      <c r="N35" s="131"/>
      <c r="O35" s="139"/>
      <c r="P35" s="135"/>
      <c r="Q35" s="131"/>
    </row>
    <row r="36" spans="3:17" ht="21" x14ac:dyDescent="0.35">
      <c r="C36" s="147"/>
      <c r="D36" s="160" t="s">
        <v>273</v>
      </c>
      <c r="E36" s="149"/>
      <c r="F36" s="140"/>
      <c r="G36" s="139"/>
      <c r="H36" s="139"/>
      <c r="I36" s="187"/>
      <c r="J36" s="188"/>
      <c r="K36" s="188"/>
      <c r="L36" s="188"/>
      <c r="M36" s="188"/>
      <c r="N36" s="131"/>
      <c r="O36" s="139"/>
      <c r="P36" s="135"/>
      <c r="Q36" s="131"/>
    </row>
    <row r="37" spans="3:17" ht="21" x14ac:dyDescent="0.35">
      <c r="C37" s="147"/>
      <c r="D37" s="160" t="s">
        <v>274</v>
      </c>
      <c r="E37" s="149"/>
      <c r="F37" s="140"/>
      <c r="G37" s="139"/>
      <c r="H37" s="139"/>
      <c r="I37" s="134"/>
      <c r="J37" s="188"/>
      <c r="K37" s="188"/>
      <c r="L37" s="188"/>
      <c r="M37" s="188"/>
      <c r="N37" s="131"/>
      <c r="O37" s="139"/>
      <c r="P37" s="135"/>
      <c r="Q37" s="131"/>
    </row>
    <row r="38" spans="3:17" ht="21" x14ac:dyDescent="0.35">
      <c r="C38" s="147"/>
      <c r="D38" s="160" t="s">
        <v>275</v>
      </c>
      <c r="E38" s="149"/>
      <c r="F38" s="140"/>
      <c r="G38" s="139"/>
      <c r="H38" s="139"/>
      <c r="I38" s="134"/>
      <c r="J38" s="188"/>
      <c r="K38" s="188"/>
      <c r="L38" s="188"/>
      <c r="M38" s="188"/>
      <c r="N38" s="131"/>
      <c r="O38" s="139"/>
      <c r="P38" s="135"/>
      <c r="Q38" s="131"/>
    </row>
    <row r="39" spans="3:17" ht="21" x14ac:dyDescent="0.35">
      <c r="C39" s="147"/>
      <c r="D39" s="131"/>
      <c r="E39" s="150"/>
      <c r="F39" s="140"/>
      <c r="G39" s="139"/>
      <c r="H39" s="139"/>
      <c r="I39" s="134"/>
      <c r="J39" s="140"/>
      <c r="K39" s="140"/>
      <c r="L39" s="131"/>
      <c r="M39" s="131"/>
      <c r="N39" s="131"/>
      <c r="O39" s="139"/>
      <c r="P39" s="135"/>
      <c r="Q39" s="131"/>
    </row>
    <row r="40" spans="3:17" x14ac:dyDescent="0.25">
      <c r="C40" s="147"/>
      <c r="D40" s="131"/>
      <c r="E40" s="151"/>
      <c r="F40" s="131"/>
      <c r="G40" s="131"/>
      <c r="H40" s="131"/>
      <c r="I40" s="131"/>
      <c r="J40" s="131"/>
      <c r="K40" s="131"/>
      <c r="L40" s="131"/>
      <c r="M40" s="131"/>
      <c r="N40" s="131"/>
      <c r="O40" s="131"/>
      <c r="P40" s="131"/>
      <c r="Q40" s="131"/>
    </row>
    <row r="41" spans="3:17" ht="15" customHeight="1" x14ac:dyDescent="0.25">
      <c r="C41" s="147"/>
      <c r="D41" s="131"/>
      <c r="E41" s="151"/>
      <c r="F41" s="131"/>
      <c r="G41" s="131"/>
      <c r="H41" s="131"/>
      <c r="I41" s="131"/>
      <c r="J41" s="131"/>
      <c r="K41" s="131"/>
      <c r="L41" s="131"/>
      <c r="M41" s="131"/>
      <c r="N41" s="131"/>
      <c r="O41" s="131"/>
      <c r="P41" s="131"/>
      <c r="Q41" s="131"/>
    </row>
    <row r="42" spans="3:17" ht="15" customHeight="1" x14ac:dyDescent="0.25">
      <c r="C42" s="147"/>
      <c r="D42" s="131"/>
      <c r="E42" s="151"/>
      <c r="F42" s="131"/>
      <c r="G42" s="131"/>
      <c r="H42" s="131"/>
      <c r="I42" s="131"/>
      <c r="J42" s="131"/>
      <c r="K42" s="131"/>
      <c r="L42" s="131"/>
      <c r="M42" s="131"/>
      <c r="N42" s="131"/>
      <c r="O42" s="131"/>
      <c r="P42" s="131"/>
      <c r="Q42" s="131"/>
    </row>
    <row r="43" spans="3:17" ht="15" customHeight="1" x14ac:dyDescent="0.25">
      <c r="C43" s="147"/>
      <c r="D43" s="131"/>
      <c r="E43" s="151"/>
      <c r="F43" s="131"/>
      <c r="G43" s="131"/>
      <c r="H43" s="131"/>
      <c r="I43" s="131"/>
      <c r="J43" s="131"/>
      <c r="K43" s="131"/>
      <c r="L43" s="131"/>
      <c r="M43" s="131"/>
      <c r="N43" s="131"/>
      <c r="O43" s="131"/>
      <c r="P43" s="131"/>
      <c r="Q43" s="131"/>
    </row>
    <row r="44" spans="3:17" ht="15" customHeight="1" x14ac:dyDescent="0.25">
      <c r="C44" s="147"/>
      <c r="D44" s="131"/>
      <c r="E44" s="151"/>
      <c r="F44" s="131"/>
      <c r="G44" s="131"/>
      <c r="H44" s="131"/>
      <c r="I44" s="131"/>
      <c r="J44" s="131"/>
      <c r="K44" s="131"/>
      <c r="L44" s="131"/>
      <c r="M44" s="131"/>
      <c r="N44" s="131"/>
      <c r="O44" s="131"/>
      <c r="P44" s="131"/>
      <c r="Q44" s="131"/>
    </row>
    <row r="45" spans="3:17" ht="15" customHeight="1" x14ac:dyDescent="0.25">
      <c r="C45" s="147"/>
      <c r="D45" s="131"/>
      <c r="E45" s="151"/>
      <c r="F45" s="131"/>
      <c r="G45" s="131"/>
      <c r="H45" s="131"/>
      <c r="I45" s="131"/>
      <c r="J45" s="131"/>
      <c r="K45" s="131"/>
      <c r="L45" s="152"/>
      <c r="M45" s="153"/>
      <c r="N45" s="131"/>
      <c r="O45" s="131"/>
      <c r="P45" s="131"/>
      <c r="Q45" s="131"/>
    </row>
    <row r="46" spans="3:17" ht="15" customHeight="1" x14ac:dyDescent="0.25">
      <c r="C46" s="147"/>
      <c r="D46" s="131"/>
      <c r="E46" s="148"/>
      <c r="F46" s="131"/>
      <c r="G46" s="131"/>
      <c r="H46" s="131"/>
      <c r="I46" s="131"/>
      <c r="J46" s="131"/>
      <c r="K46" s="131"/>
      <c r="L46" s="131"/>
      <c r="M46" s="131"/>
      <c r="N46" s="131"/>
      <c r="O46" s="131"/>
      <c r="P46" s="131"/>
      <c r="Q46" s="131"/>
    </row>
    <row r="47" spans="3:17" x14ac:dyDescent="0.25">
      <c r="C47" s="147"/>
      <c r="D47" s="131"/>
      <c r="E47" s="148"/>
      <c r="F47" s="148"/>
      <c r="G47" s="132"/>
      <c r="H47" s="132"/>
      <c r="I47" s="132"/>
      <c r="J47" s="132"/>
      <c r="K47" s="132"/>
      <c r="L47" s="132"/>
      <c r="M47" s="132"/>
      <c r="N47" s="132"/>
      <c r="O47" s="132"/>
      <c r="P47" s="132"/>
      <c r="Q47" s="131"/>
    </row>
    <row r="48" spans="3:17" x14ac:dyDescent="0.25">
      <c r="C48" s="147"/>
      <c r="D48" s="131"/>
      <c r="E48" s="148"/>
      <c r="F48" s="152"/>
      <c r="G48" s="136"/>
      <c r="H48" s="136"/>
      <c r="I48" s="136"/>
      <c r="J48" s="136"/>
      <c r="K48" s="136"/>
      <c r="L48" s="136"/>
      <c r="M48" s="136"/>
      <c r="N48" s="136"/>
      <c r="O48" s="136"/>
      <c r="P48" s="136"/>
      <c r="Q48" s="131"/>
    </row>
    <row r="49" spans="3:17" x14ac:dyDescent="0.25">
      <c r="C49" s="147"/>
      <c r="D49" s="131"/>
      <c r="E49" s="148"/>
      <c r="F49" s="139"/>
      <c r="G49" s="136"/>
      <c r="H49" s="136"/>
      <c r="I49" s="136"/>
      <c r="J49" s="136"/>
      <c r="K49" s="136"/>
      <c r="L49" s="136"/>
      <c r="M49" s="136"/>
      <c r="N49" s="136"/>
      <c r="O49" s="136"/>
      <c r="P49" s="136"/>
      <c r="Q49" s="131"/>
    </row>
    <row r="50" spans="3:17" x14ac:dyDescent="0.25">
      <c r="C50" s="147"/>
      <c r="D50" s="131"/>
      <c r="E50" s="148"/>
      <c r="F50" s="139"/>
      <c r="G50" s="137"/>
      <c r="H50" s="137"/>
      <c r="I50" s="137"/>
      <c r="J50" s="137"/>
      <c r="K50" s="137"/>
      <c r="L50" s="137"/>
      <c r="M50" s="137"/>
      <c r="N50" s="137"/>
      <c r="O50" s="137"/>
      <c r="P50" s="137"/>
      <c r="Q50" s="131"/>
    </row>
    <row r="51" spans="3:17" x14ac:dyDescent="0.25">
      <c r="C51" s="147"/>
      <c r="D51" s="131"/>
      <c r="E51" s="148"/>
      <c r="F51" s="139"/>
      <c r="G51" s="137"/>
      <c r="H51" s="137"/>
      <c r="I51" s="137"/>
      <c r="J51" s="137"/>
      <c r="K51" s="137"/>
      <c r="L51" s="137"/>
      <c r="M51" s="137"/>
      <c r="N51" s="137"/>
      <c r="O51" s="137"/>
      <c r="P51" s="137"/>
      <c r="Q51" s="131"/>
    </row>
    <row r="52" spans="3:17" x14ac:dyDescent="0.25">
      <c r="C52" s="147"/>
      <c r="D52" s="131"/>
      <c r="E52" s="148"/>
      <c r="F52" s="139"/>
      <c r="G52" s="137"/>
      <c r="H52" s="137"/>
      <c r="I52" s="137"/>
      <c r="J52" s="137"/>
      <c r="K52" s="137"/>
      <c r="L52" s="137"/>
      <c r="M52" s="137"/>
      <c r="N52" s="137"/>
      <c r="O52" s="137"/>
      <c r="P52" s="137"/>
      <c r="Q52" s="131"/>
    </row>
    <row r="53" spans="3:17" x14ac:dyDescent="0.25">
      <c r="C53" s="147"/>
      <c r="D53" s="131"/>
      <c r="E53" s="148"/>
      <c r="F53" s="139"/>
      <c r="G53" s="137"/>
      <c r="H53" s="137"/>
      <c r="I53" s="137"/>
      <c r="J53" s="137"/>
      <c r="K53" s="137"/>
      <c r="L53" s="137"/>
      <c r="M53" s="137"/>
      <c r="N53" s="137"/>
      <c r="O53" s="137"/>
      <c r="P53" s="137"/>
      <c r="Q53" s="131"/>
    </row>
    <row r="54" spans="3:17" x14ac:dyDescent="0.25">
      <c r="C54" s="147"/>
      <c r="D54" s="131"/>
      <c r="E54" s="148"/>
      <c r="F54" s="139"/>
      <c r="G54" s="131"/>
      <c r="H54" s="131"/>
      <c r="I54" s="131"/>
      <c r="J54" s="154"/>
      <c r="K54" s="155"/>
      <c r="L54" s="138"/>
      <c r="M54" s="131"/>
      <c r="N54" s="131"/>
      <c r="O54" s="131"/>
      <c r="P54" s="131"/>
      <c r="Q54" s="131"/>
    </row>
    <row r="55" spans="3:17" x14ac:dyDescent="0.25">
      <c r="C55" s="147"/>
      <c r="D55" s="131"/>
      <c r="E55" s="131"/>
      <c r="F55" s="131"/>
      <c r="G55" s="131"/>
      <c r="H55" s="131"/>
      <c r="I55" s="131"/>
      <c r="J55" s="131"/>
      <c r="K55" s="131"/>
      <c r="L55" s="131"/>
      <c r="M55" s="131"/>
      <c r="N55" s="131"/>
      <c r="O55" s="131"/>
      <c r="P55" s="131"/>
      <c r="Q55" s="131"/>
    </row>
    <row r="56" spans="3:17" ht="18.75" x14ac:dyDescent="0.3">
      <c r="C56" s="147"/>
      <c r="D56" s="159" t="s">
        <v>276</v>
      </c>
      <c r="E56" s="148"/>
      <c r="F56" s="131"/>
      <c r="G56" s="131"/>
      <c r="H56" s="131"/>
      <c r="I56" s="131"/>
      <c r="J56" s="136"/>
      <c r="K56" s="131"/>
      <c r="L56" s="131"/>
      <c r="M56" s="131"/>
      <c r="N56" s="131"/>
      <c r="O56" s="131"/>
      <c r="P56" s="131"/>
      <c r="Q56" s="131"/>
    </row>
    <row r="57" spans="3:17" ht="18.75" x14ac:dyDescent="0.3">
      <c r="C57" s="147"/>
      <c r="D57" s="159" t="s">
        <v>277</v>
      </c>
      <c r="E57" s="148"/>
      <c r="F57" s="131"/>
      <c r="G57" s="131"/>
      <c r="H57" s="131"/>
      <c r="I57" s="131"/>
      <c r="J57" s="131"/>
      <c r="K57" s="131"/>
      <c r="L57" s="131"/>
      <c r="M57" s="131"/>
      <c r="N57" s="131"/>
      <c r="O57" s="131"/>
      <c r="P57" s="131"/>
      <c r="Q57" s="131"/>
    </row>
    <row r="58" spans="3:17" ht="18.75" x14ac:dyDescent="0.3">
      <c r="C58" s="147"/>
      <c r="D58" s="160"/>
      <c r="E58" s="148"/>
      <c r="F58" s="131"/>
      <c r="G58" s="131"/>
      <c r="H58" s="131"/>
      <c r="I58" s="131"/>
      <c r="J58" s="131"/>
      <c r="K58" s="131"/>
      <c r="L58" s="131"/>
      <c r="M58" s="131"/>
      <c r="N58" s="131"/>
      <c r="O58" s="131"/>
      <c r="P58" s="131"/>
      <c r="Q58" s="131"/>
    </row>
    <row r="59" spans="3:17" ht="18.75" x14ac:dyDescent="0.3">
      <c r="C59" s="147"/>
      <c r="D59" s="160"/>
      <c r="E59" s="148"/>
      <c r="F59" s="131"/>
      <c r="G59" s="131"/>
      <c r="H59" s="131"/>
      <c r="I59" s="131"/>
      <c r="J59" s="131"/>
      <c r="K59" s="131"/>
      <c r="L59" s="131"/>
      <c r="M59" s="131"/>
      <c r="N59" s="131"/>
      <c r="O59" s="131"/>
      <c r="P59" s="131"/>
      <c r="Q59" s="131"/>
    </row>
    <row r="60" spans="3:17" x14ac:dyDescent="0.25">
      <c r="C60" s="147"/>
      <c r="D60" s="131"/>
      <c r="E60" s="148"/>
      <c r="F60" s="131"/>
      <c r="G60" s="131"/>
      <c r="H60" s="131"/>
      <c r="I60" s="131"/>
      <c r="J60" s="131"/>
      <c r="K60" s="131"/>
      <c r="L60" s="131"/>
      <c r="M60" s="131"/>
      <c r="N60" s="131"/>
      <c r="O60" s="131"/>
      <c r="P60" s="131"/>
      <c r="Q60" s="131"/>
    </row>
    <row r="61" spans="3:17" x14ac:dyDescent="0.25">
      <c r="C61" s="156"/>
      <c r="D61" s="131"/>
      <c r="E61" s="131"/>
      <c r="F61" s="131"/>
      <c r="G61" s="131"/>
      <c r="H61" s="131"/>
      <c r="I61" s="131"/>
      <c r="J61" s="131"/>
      <c r="K61" s="131"/>
      <c r="L61" s="131"/>
      <c r="M61" s="131"/>
      <c r="N61" s="131"/>
      <c r="O61" s="131"/>
      <c r="P61" s="131"/>
      <c r="Q61" s="131"/>
    </row>
    <row r="62" spans="3:17" x14ac:dyDescent="0.25">
      <c r="C62" s="131"/>
      <c r="D62" s="131"/>
      <c r="E62" s="131"/>
      <c r="F62" s="131"/>
      <c r="G62" s="131"/>
      <c r="H62" s="131"/>
      <c r="I62" s="131"/>
      <c r="J62" s="131"/>
      <c r="K62" s="131"/>
      <c r="L62" s="131"/>
      <c r="M62" s="131"/>
      <c r="N62" s="131"/>
      <c r="O62" s="131"/>
      <c r="P62" s="131"/>
      <c r="Q62" s="131"/>
    </row>
  </sheetData>
  <sheetProtection algorithmName="SHA-512" hashValue="AHwpI6eHZSJYZt4Yopdd5GH7bKuucTiSWmYNmknBM9SQmuYgr4HIlrwIYyeXA8vH9HRIGk+EyjM/ys+CY9KQAw==" saltValue="3fkncKugyYCGce8VBK+QNA==" spinCount="100000" sheet="1" objects="1" scenarios="1"/>
  <mergeCells count="10">
    <mergeCell ref="E25:I25"/>
    <mergeCell ref="E26:I26"/>
    <mergeCell ref="F10:G10"/>
    <mergeCell ref="G12:L12"/>
    <mergeCell ref="H16:I16"/>
    <mergeCell ref="O12:P12"/>
    <mergeCell ref="H14:I14"/>
    <mergeCell ref="J18:N18"/>
    <mergeCell ref="J20:N20"/>
    <mergeCell ref="J22:N22"/>
  </mergeCells>
  <pageMargins left="0.7" right="0.7" top="0.75" bottom="0.75" header="0.3" footer="0.3"/>
  <pageSetup paperSize="3"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AY146"/>
  <sheetViews>
    <sheetView showGridLines="0" tabSelected="1" zoomScale="85" zoomScaleNormal="85" workbookViewId="0">
      <selection activeCell="O7" sqref="O7"/>
    </sheetView>
  </sheetViews>
  <sheetFormatPr defaultRowHeight="15" outlineLevelRow="1" x14ac:dyDescent="0.25"/>
  <cols>
    <col min="1" max="1" width="3.28515625" style="74" customWidth="1"/>
    <col min="2" max="2" width="2.5703125" style="74" customWidth="1"/>
    <col min="3" max="5" width="10.7109375" style="74" customWidth="1"/>
    <col min="6" max="7" width="11.7109375" style="74" customWidth="1"/>
    <col min="8" max="8" width="12.5703125" style="74" customWidth="1"/>
    <col min="9" max="9" width="13.28515625" style="74" customWidth="1"/>
    <col min="10" max="10" width="11.42578125" style="74" customWidth="1"/>
    <col min="11" max="11" width="9.42578125" style="74" customWidth="1"/>
    <col min="12" max="12" width="10.28515625" style="74" customWidth="1"/>
    <col min="13" max="13" width="8.7109375" style="74" customWidth="1"/>
    <col min="14" max="14" width="9.85546875" style="74" customWidth="1"/>
    <col min="15" max="15" width="11.42578125" style="74" customWidth="1"/>
    <col min="16" max="16" width="10.7109375" style="74" customWidth="1"/>
    <col min="17" max="17" width="9" style="74" customWidth="1"/>
    <col min="18" max="18" width="9" style="74"/>
    <col min="19" max="19" width="7" style="74" customWidth="1"/>
    <col min="20" max="27" width="9" style="74"/>
    <col min="28" max="28" width="11.28515625" style="74" customWidth="1"/>
    <col min="29" max="29" width="11.85546875" style="74" customWidth="1"/>
    <col min="30" max="30" width="13" style="74" customWidth="1"/>
    <col min="31" max="31" width="10.7109375" style="74" customWidth="1"/>
    <col min="32" max="32" width="12" style="74" customWidth="1"/>
    <col min="33" max="33" width="4.7109375" style="74" customWidth="1"/>
    <col min="34" max="35" width="15.7109375" style="74" customWidth="1"/>
    <col min="36" max="36" width="4.7109375" style="74" customWidth="1"/>
    <col min="37" max="38" width="15.7109375" style="74" customWidth="1"/>
    <col min="39" max="39" width="4.7109375" style="74" customWidth="1"/>
    <col min="40" max="40" width="23.140625" style="74" customWidth="1"/>
    <col min="41" max="44" width="12.7109375" style="74" customWidth="1"/>
    <col min="45" max="45" width="13.42578125" style="74" customWidth="1"/>
    <col min="46" max="46" width="36.7109375" style="74" customWidth="1"/>
    <col min="47" max="48" width="9.140625" style="74"/>
    <col min="49" max="49" width="4.7109375" style="74" customWidth="1"/>
    <col min="50" max="51" width="15.7109375" style="74" customWidth="1"/>
    <col min="52" max="52" width="10.28515625" style="74" customWidth="1"/>
    <col min="53" max="53" width="19.42578125" style="74" customWidth="1"/>
    <col min="54" max="54" width="18" style="74" customWidth="1"/>
    <col min="55" max="55" width="4.7109375" style="74" customWidth="1"/>
    <col min="56" max="56" width="9.140625" style="74"/>
    <col min="57" max="57" width="12.5703125" style="74" customWidth="1"/>
    <col min="58" max="58" width="4.7109375" style="74" customWidth="1"/>
    <col min="59" max="59" width="9.140625" style="74"/>
    <col min="60" max="60" width="11.85546875" style="74" customWidth="1"/>
    <col min="61" max="63" width="9.140625" style="74"/>
    <col min="64" max="64" width="30.140625" style="74" customWidth="1"/>
    <col min="65" max="16384" width="9.140625" style="74"/>
  </cols>
  <sheetData>
    <row r="1" spans="2:20" ht="22.5" customHeight="1" x14ac:dyDescent="0.25">
      <c r="B1" s="129"/>
      <c r="C1" s="129"/>
      <c r="D1" s="129"/>
      <c r="E1" s="129"/>
      <c r="F1" s="129"/>
      <c r="G1" s="129"/>
      <c r="H1" s="129"/>
      <c r="I1" s="129"/>
      <c r="J1" s="129"/>
      <c r="K1" s="129"/>
      <c r="L1" s="129"/>
      <c r="M1" s="129"/>
      <c r="N1" s="129"/>
      <c r="O1" s="129"/>
      <c r="P1" s="129"/>
      <c r="Q1" s="129"/>
      <c r="R1" s="129"/>
      <c r="S1" s="129"/>
      <c r="T1" s="129"/>
    </row>
    <row r="2" spans="2:20" ht="22.5" customHeight="1" x14ac:dyDescent="0.25">
      <c r="B2" s="129"/>
      <c r="D2" s="129"/>
      <c r="E2" s="129"/>
      <c r="F2" s="129"/>
      <c r="G2" s="129"/>
      <c r="H2" s="129"/>
      <c r="I2" s="129"/>
      <c r="J2" s="129"/>
      <c r="K2" s="129"/>
      <c r="L2" s="129"/>
      <c r="M2" s="129"/>
      <c r="N2" s="129"/>
      <c r="O2" s="129"/>
      <c r="P2" s="129"/>
      <c r="Q2" s="129"/>
      <c r="R2" s="129"/>
      <c r="S2" s="129"/>
      <c r="T2" s="129"/>
    </row>
    <row r="3" spans="2:20" ht="22.5" customHeight="1" x14ac:dyDescent="0.25">
      <c r="B3" s="129"/>
      <c r="D3" s="129"/>
      <c r="E3" s="129"/>
      <c r="F3" s="129"/>
      <c r="G3" s="129"/>
      <c r="H3" s="129"/>
      <c r="I3" s="129"/>
      <c r="J3" s="129"/>
      <c r="K3" s="129"/>
      <c r="L3" s="129"/>
      <c r="M3" s="129"/>
      <c r="N3" s="129"/>
      <c r="O3" s="129"/>
      <c r="P3" s="129"/>
      <c r="Q3" s="129"/>
      <c r="R3" s="129"/>
      <c r="S3" s="129"/>
      <c r="T3" s="129"/>
    </row>
    <row r="4" spans="2:20" ht="22.5" customHeight="1" x14ac:dyDescent="0.3">
      <c r="B4" s="129"/>
      <c r="C4" s="193" t="s">
        <v>233</v>
      </c>
      <c r="E4" s="305">
        <f>Agreement!F10</f>
        <v>2026</v>
      </c>
      <c r="F4" s="306"/>
      <c r="G4" s="129"/>
      <c r="H4" s="129"/>
      <c r="I4" s="129"/>
      <c r="J4" s="129"/>
      <c r="K4" s="129"/>
      <c r="L4" s="129"/>
      <c r="M4" s="129"/>
      <c r="N4" s="129"/>
      <c r="O4" s="129"/>
      <c r="P4" s="129"/>
      <c r="Q4" s="129"/>
      <c r="R4" s="129"/>
      <c r="S4" s="129"/>
      <c r="T4" s="129"/>
    </row>
    <row r="5" spans="2:20" ht="22.5" customHeight="1" x14ac:dyDescent="0.3">
      <c r="B5" s="129"/>
      <c r="C5" s="193" t="s">
        <v>234</v>
      </c>
      <c r="D5" s="129"/>
      <c r="E5" s="199" t="str">
        <f>Agreement!G12</f>
        <v>Watkins, CO 80137</v>
      </c>
      <c r="F5" s="193"/>
      <c r="G5" s="129"/>
      <c r="H5" s="200"/>
      <c r="I5" s="201"/>
      <c r="J5" s="202"/>
      <c r="K5" s="129"/>
      <c r="L5" s="129"/>
      <c r="M5" s="129"/>
      <c r="N5" s="129"/>
      <c r="O5" s="129"/>
      <c r="P5" s="129"/>
      <c r="Q5" s="129"/>
      <c r="R5" s="129"/>
      <c r="S5" s="129"/>
      <c r="T5" s="129"/>
    </row>
    <row r="6" spans="2:20" ht="22.5" customHeight="1" x14ac:dyDescent="0.25">
      <c r="B6" s="129"/>
      <c r="D6" s="129"/>
      <c r="E6" s="129"/>
      <c r="F6" s="129"/>
      <c r="G6" s="129"/>
      <c r="H6" s="200"/>
      <c r="I6" s="201"/>
      <c r="J6" s="202"/>
      <c r="K6" s="129"/>
      <c r="L6" s="129"/>
      <c r="M6" s="129"/>
      <c r="N6" s="129"/>
      <c r="O6" s="129"/>
      <c r="P6" s="129"/>
      <c r="Q6" s="129"/>
      <c r="R6" s="129"/>
      <c r="S6" s="129"/>
      <c r="T6" s="129"/>
    </row>
    <row r="7" spans="2:20" ht="22.5" customHeight="1" x14ac:dyDescent="0.25">
      <c r="B7" s="129"/>
      <c r="D7" s="129"/>
      <c r="E7" s="129"/>
      <c r="F7" s="129"/>
      <c r="G7" s="129"/>
      <c r="H7" s="200"/>
      <c r="I7" s="201"/>
      <c r="J7" s="202"/>
      <c r="K7" s="129"/>
      <c r="L7" s="129"/>
      <c r="M7" s="129"/>
      <c r="N7" s="129"/>
      <c r="O7" s="129"/>
      <c r="P7" s="129"/>
      <c r="Q7" s="129"/>
      <c r="R7" s="129"/>
      <c r="S7" s="129"/>
      <c r="T7" s="129"/>
    </row>
    <row r="8" spans="2:20" ht="22.5" customHeight="1" x14ac:dyDescent="0.4">
      <c r="B8" s="129"/>
      <c r="D8" s="129"/>
      <c r="E8" s="129"/>
      <c r="F8" s="129"/>
      <c r="G8" s="129"/>
      <c r="H8" s="309" t="s">
        <v>232</v>
      </c>
      <c r="I8" s="310"/>
      <c r="J8" s="311"/>
      <c r="K8" s="129"/>
      <c r="L8" s="129"/>
      <c r="M8" s="129"/>
      <c r="N8" s="129"/>
      <c r="O8" s="129"/>
      <c r="P8" s="129"/>
      <c r="Q8" s="129"/>
      <c r="R8" s="129"/>
      <c r="S8" s="129"/>
      <c r="T8" s="129"/>
    </row>
    <row r="9" spans="2:20" ht="22.5" customHeight="1" x14ac:dyDescent="0.4">
      <c r="B9" s="129"/>
      <c r="D9" s="129"/>
      <c r="E9" s="129"/>
      <c r="F9" s="129"/>
      <c r="G9" s="129"/>
      <c r="H9" s="143"/>
      <c r="I9" s="129"/>
      <c r="J9" s="129"/>
      <c r="K9" s="129"/>
      <c r="L9" s="129"/>
      <c r="M9" s="129"/>
      <c r="N9" s="129"/>
      <c r="O9" s="129"/>
      <c r="P9" s="129"/>
      <c r="Q9" s="129"/>
      <c r="R9" s="129"/>
      <c r="S9" s="129"/>
      <c r="T9" s="129"/>
    </row>
    <row r="10" spans="2:20" ht="26.25" x14ac:dyDescent="0.4">
      <c r="B10" s="129"/>
      <c r="E10" s="129"/>
      <c r="F10" s="129"/>
      <c r="G10" s="312"/>
      <c r="H10" s="313"/>
      <c r="I10" s="313"/>
      <c r="J10" s="313"/>
      <c r="K10" s="313"/>
      <c r="L10" s="314"/>
      <c r="M10" s="129"/>
      <c r="N10" s="129"/>
      <c r="O10" s="129"/>
      <c r="P10" s="129"/>
      <c r="Q10" s="129"/>
      <c r="R10" s="129"/>
      <c r="S10" s="129"/>
      <c r="T10" s="129"/>
    </row>
    <row r="11" spans="2:20" ht="5.0999999999999996" customHeight="1" x14ac:dyDescent="0.25">
      <c r="B11" s="129"/>
      <c r="C11" s="129"/>
      <c r="D11" s="129"/>
      <c r="E11" s="129"/>
      <c r="F11" s="129"/>
      <c r="G11" s="129"/>
      <c r="H11" s="129"/>
      <c r="I11" s="129"/>
      <c r="J11" s="129"/>
      <c r="K11" s="129"/>
      <c r="L11" s="129"/>
      <c r="M11" s="129"/>
      <c r="N11" s="129"/>
      <c r="O11" s="129"/>
      <c r="P11" s="129"/>
      <c r="Q11" s="129"/>
      <c r="R11" s="129"/>
      <c r="S11" s="129"/>
      <c r="T11" s="129"/>
    </row>
    <row r="12" spans="2:20" ht="18.75" x14ac:dyDescent="0.3">
      <c r="B12" s="129"/>
      <c r="C12" s="141"/>
      <c r="D12" s="203" t="s">
        <v>0</v>
      </c>
      <c r="E12" s="204"/>
      <c r="F12" s="204"/>
      <c r="G12" s="204"/>
      <c r="H12" s="204"/>
      <c r="I12" s="204"/>
      <c r="J12" s="204"/>
      <c r="K12" s="204"/>
      <c r="L12" s="204"/>
      <c r="M12" s="204"/>
      <c r="N12" s="204"/>
      <c r="O12" s="205"/>
      <c r="P12" s="141"/>
      <c r="Q12" s="129"/>
      <c r="R12" s="129"/>
      <c r="S12" s="129"/>
      <c r="T12" s="129"/>
    </row>
    <row r="13" spans="2:20" ht="5.0999999999999996" customHeight="1" thickBot="1" x14ac:dyDescent="0.3">
      <c r="B13" s="200"/>
      <c r="Q13" s="202"/>
      <c r="R13" s="129"/>
      <c r="S13" s="129"/>
      <c r="T13" s="129"/>
    </row>
    <row r="14" spans="2:20" ht="15.75" thickBot="1" x14ac:dyDescent="0.3">
      <c r="B14" s="200"/>
      <c r="D14" s="206" t="s">
        <v>244</v>
      </c>
      <c r="E14" s="207"/>
      <c r="F14" s="207"/>
      <c r="G14" s="207"/>
      <c r="H14" s="207"/>
      <c r="I14" s="207"/>
      <c r="J14" s="207"/>
      <c r="K14" s="207"/>
      <c r="L14" s="207"/>
      <c r="M14" s="207"/>
      <c r="N14" s="207"/>
      <c r="O14" s="336">
        <v>4600</v>
      </c>
      <c r="Q14" s="202"/>
      <c r="R14" s="129"/>
      <c r="S14" s="129"/>
      <c r="T14" s="129"/>
    </row>
    <row r="15" spans="2:20" ht="5.0999999999999996" customHeight="1" thickBot="1" x14ac:dyDescent="0.3">
      <c r="B15" s="200"/>
      <c r="D15" s="209"/>
      <c r="E15" s="210"/>
      <c r="F15" s="210"/>
      <c r="G15" s="210"/>
      <c r="H15" s="210"/>
      <c r="I15" s="210"/>
      <c r="J15" s="210"/>
      <c r="K15" s="210"/>
      <c r="L15" s="210"/>
      <c r="M15" s="210"/>
      <c r="N15" s="210"/>
      <c r="O15" s="211"/>
      <c r="Q15" s="202"/>
      <c r="R15" s="129"/>
      <c r="S15" s="129"/>
      <c r="T15" s="129"/>
    </row>
    <row r="16" spans="2:20" ht="15.75" thickBot="1" x14ac:dyDescent="0.3">
      <c r="B16" s="200"/>
      <c r="D16" s="212" t="s">
        <v>238</v>
      </c>
      <c r="E16" s="210"/>
      <c r="F16" s="210"/>
      <c r="G16" s="210"/>
      <c r="H16" s="210"/>
      <c r="I16" s="210"/>
      <c r="J16" s="210"/>
      <c r="K16" s="210"/>
      <c r="L16" s="210"/>
      <c r="M16" s="210"/>
      <c r="N16" s="210"/>
      <c r="O16" s="336">
        <v>2100</v>
      </c>
      <c r="Q16" s="202"/>
      <c r="R16" s="129"/>
      <c r="S16" s="129"/>
      <c r="T16" s="129"/>
    </row>
    <row r="17" spans="2:20" hidden="1" outlineLevel="1" x14ac:dyDescent="0.25">
      <c r="B17" s="200"/>
      <c r="D17" s="209"/>
      <c r="E17" s="210"/>
      <c r="F17" s="210"/>
      <c r="G17" s="210"/>
      <c r="H17" s="210"/>
      <c r="I17" s="210"/>
      <c r="J17" s="210"/>
      <c r="K17" s="210"/>
      <c r="L17" s="210"/>
      <c r="M17" s="210"/>
      <c r="N17" s="210"/>
      <c r="O17" s="211"/>
      <c r="Q17" s="202"/>
      <c r="R17" s="129"/>
      <c r="S17" s="129"/>
      <c r="T17" s="129"/>
    </row>
    <row r="18" spans="2:20" hidden="1" outlineLevel="1" x14ac:dyDescent="0.25">
      <c r="B18" s="200"/>
      <c r="D18" s="209"/>
      <c r="E18" s="210"/>
      <c r="F18" s="210"/>
      <c r="G18" s="210"/>
      <c r="H18" s="210"/>
      <c r="I18" s="210"/>
      <c r="J18" s="210"/>
      <c r="K18" s="210"/>
      <c r="L18" s="210"/>
      <c r="M18" s="210"/>
      <c r="N18" s="213" t="s">
        <v>1</v>
      </c>
      <c r="O18" s="214">
        <f>INDEX($G$123:$G$125,MATCH(O16,$C$123:$C$125,1))</f>
        <v>80520</v>
      </c>
      <c r="Q18" s="202"/>
      <c r="R18" s="129"/>
      <c r="S18" s="129"/>
      <c r="T18" s="129"/>
    </row>
    <row r="19" spans="2:20" hidden="1" outlineLevel="1" x14ac:dyDescent="0.25">
      <c r="B19" s="200"/>
      <c r="D19" s="209"/>
      <c r="E19" s="210"/>
      <c r="F19" s="210"/>
      <c r="G19" s="210"/>
      <c r="H19" s="210"/>
      <c r="I19" s="210"/>
      <c r="J19" s="210"/>
      <c r="K19" s="210"/>
      <c r="L19" s="210"/>
      <c r="M19" s="210"/>
      <c r="N19" s="210"/>
      <c r="O19" s="211"/>
      <c r="Q19" s="202"/>
      <c r="R19" s="129"/>
      <c r="S19" s="129"/>
      <c r="T19" s="129"/>
    </row>
    <row r="20" spans="2:20" hidden="1" outlineLevel="1" x14ac:dyDescent="0.25">
      <c r="B20" s="200"/>
      <c r="D20" s="209"/>
      <c r="E20" s="210"/>
      <c r="F20" s="215" t="s">
        <v>2</v>
      </c>
      <c r="G20" s="210"/>
      <c r="H20" s="210"/>
      <c r="I20" s="210"/>
      <c r="J20" s="210"/>
      <c r="K20" s="210"/>
      <c r="L20" s="210"/>
      <c r="M20" s="210"/>
      <c r="N20" s="210"/>
      <c r="O20" s="211"/>
      <c r="Q20" s="202"/>
      <c r="R20" s="129"/>
      <c r="S20" s="129"/>
      <c r="T20" s="129"/>
    </row>
    <row r="21" spans="2:20" ht="5.0999999999999996" customHeight="1" collapsed="1" thickBot="1" x14ac:dyDescent="0.3">
      <c r="B21" s="200"/>
      <c r="D21" s="209"/>
      <c r="E21" s="210"/>
      <c r="F21" s="210"/>
      <c r="G21" s="210"/>
      <c r="H21" s="210"/>
      <c r="I21" s="210"/>
      <c r="J21" s="210"/>
      <c r="K21" s="210"/>
      <c r="L21" s="210"/>
      <c r="M21" s="210"/>
      <c r="N21" s="210"/>
      <c r="O21" s="211"/>
      <c r="Q21" s="202"/>
      <c r="R21" s="129"/>
      <c r="S21" s="129"/>
      <c r="T21" s="129"/>
    </row>
    <row r="22" spans="2:20" ht="15.75" thickBot="1" x14ac:dyDescent="0.3">
      <c r="B22" s="200"/>
      <c r="D22" s="212" t="s">
        <v>239</v>
      </c>
      <c r="E22" s="210"/>
      <c r="F22" s="210"/>
      <c r="G22" s="210"/>
      <c r="H22" s="210"/>
      <c r="I22" s="210"/>
      <c r="J22" s="210"/>
      <c r="K22" s="210"/>
      <c r="L22" s="210"/>
      <c r="M22" s="210"/>
      <c r="N22" s="210"/>
      <c r="O22" s="336">
        <v>900</v>
      </c>
      <c r="Q22" s="202"/>
      <c r="R22" s="129"/>
      <c r="S22" s="129"/>
      <c r="T22" s="129"/>
    </row>
    <row r="23" spans="2:20" ht="5.0999999999999996" customHeight="1" thickBot="1" x14ac:dyDescent="0.3">
      <c r="B23" s="200"/>
      <c r="D23" s="209"/>
      <c r="E23" s="210"/>
      <c r="F23" s="210"/>
      <c r="G23" s="210"/>
      <c r="H23" s="210"/>
      <c r="I23" s="210"/>
      <c r="J23" s="210"/>
      <c r="K23" s="210"/>
      <c r="L23" s="210"/>
      <c r="M23" s="210"/>
      <c r="N23" s="210"/>
      <c r="O23" s="211"/>
      <c r="Q23" s="202"/>
      <c r="R23" s="129"/>
      <c r="S23" s="129"/>
      <c r="T23" s="129"/>
    </row>
    <row r="24" spans="2:20" ht="15.75" thickBot="1" x14ac:dyDescent="0.3">
      <c r="B24" s="200"/>
      <c r="D24" s="212" t="s">
        <v>240</v>
      </c>
      <c r="E24" s="210"/>
      <c r="F24" s="210"/>
      <c r="G24" s="210"/>
      <c r="H24" s="210"/>
      <c r="I24" s="210"/>
      <c r="J24" s="210"/>
      <c r="K24" s="210"/>
      <c r="L24" s="210"/>
      <c r="M24" s="210"/>
      <c r="N24" s="210"/>
      <c r="O24" s="208">
        <v>2</v>
      </c>
      <c r="Q24" s="202"/>
      <c r="R24" s="129"/>
      <c r="S24" s="129"/>
      <c r="T24" s="129"/>
    </row>
    <row r="25" spans="2:20" hidden="1" outlineLevel="1" x14ac:dyDescent="0.25">
      <c r="B25" s="200"/>
      <c r="D25" s="209"/>
      <c r="E25" s="210"/>
      <c r="F25" s="210"/>
      <c r="G25" s="210"/>
      <c r="H25" s="210"/>
      <c r="I25" s="210"/>
      <c r="J25" s="210"/>
      <c r="K25" s="210"/>
      <c r="L25" s="210"/>
      <c r="M25" s="210"/>
      <c r="N25" s="210"/>
      <c r="O25" s="216"/>
      <c r="Q25" s="202"/>
      <c r="R25" s="129"/>
      <c r="S25" s="129"/>
      <c r="T25" s="129"/>
    </row>
    <row r="26" spans="2:20" hidden="1" outlineLevel="1" x14ac:dyDescent="0.25">
      <c r="B26" s="200"/>
      <c r="D26" s="212" t="s">
        <v>3</v>
      </c>
      <c r="E26" s="210"/>
      <c r="F26" s="210"/>
      <c r="G26" s="210"/>
      <c r="H26" s="210"/>
      <c r="I26" s="210"/>
      <c r="J26" s="210"/>
      <c r="K26" s="210"/>
      <c r="L26" s="210"/>
      <c r="M26" s="210"/>
      <c r="N26" s="210"/>
      <c r="O26" s="217">
        <f>IF(O24&gt;2,M124,M123)+O22</f>
        <v>1754</v>
      </c>
      <c r="Q26" s="202"/>
      <c r="R26" s="129"/>
      <c r="S26" s="129"/>
      <c r="T26" s="129"/>
    </row>
    <row r="27" spans="2:20" hidden="1" outlineLevel="1" x14ac:dyDescent="0.25">
      <c r="B27" s="200"/>
      <c r="D27" s="209"/>
      <c r="E27" s="210"/>
      <c r="F27" s="210"/>
      <c r="G27" s="210"/>
      <c r="H27" s="210"/>
      <c r="I27" s="210"/>
      <c r="J27" s="210"/>
      <c r="K27" s="210"/>
      <c r="L27" s="210"/>
      <c r="M27" s="210"/>
      <c r="N27" s="210"/>
      <c r="O27" s="216"/>
      <c r="Q27" s="202"/>
      <c r="R27" s="129"/>
      <c r="S27" s="129"/>
      <c r="T27" s="129"/>
    </row>
    <row r="28" spans="2:20" hidden="1" outlineLevel="1" x14ac:dyDescent="0.25">
      <c r="B28" s="200"/>
      <c r="D28" s="212" t="s">
        <v>4</v>
      </c>
      <c r="E28" s="210"/>
      <c r="F28" s="210"/>
      <c r="G28" s="210"/>
      <c r="H28" s="210"/>
      <c r="I28" s="210"/>
      <c r="J28" s="210"/>
      <c r="K28" s="210"/>
      <c r="L28" s="210"/>
      <c r="M28" s="210"/>
      <c r="N28" s="210"/>
      <c r="O28" s="217">
        <f>O14-O26</f>
        <v>2846</v>
      </c>
      <c r="Q28" s="202"/>
      <c r="R28" s="129"/>
      <c r="S28" s="129"/>
      <c r="T28" s="129"/>
    </row>
    <row r="29" spans="2:20" ht="5.0999999999999996" customHeight="1" collapsed="1" thickBot="1" x14ac:dyDescent="0.3">
      <c r="B29" s="200"/>
      <c r="D29" s="209"/>
      <c r="E29" s="210"/>
      <c r="F29" s="210"/>
      <c r="G29" s="210"/>
      <c r="H29" s="210"/>
      <c r="I29" s="210"/>
      <c r="J29" s="210"/>
      <c r="K29" s="210"/>
      <c r="L29" s="210"/>
      <c r="M29" s="210"/>
      <c r="N29" s="210"/>
      <c r="O29" s="216"/>
      <c r="Q29" s="202"/>
      <c r="R29" s="129"/>
      <c r="S29" s="129"/>
      <c r="T29" s="129"/>
    </row>
    <row r="30" spans="2:20" ht="15.75" thickBot="1" x14ac:dyDescent="0.3">
      <c r="B30" s="200"/>
      <c r="D30" s="212" t="s">
        <v>241</v>
      </c>
      <c r="E30" s="210"/>
      <c r="F30" s="210"/>
      <c r="G30" s="210"/>
      <c r="H30" s="210"/>
      <c r="I30" s="210"/>
      <c r="J30" s="210"/>
      <c r="K30" s="210"/>
      <c r="L30" s="210"/>
      <c r="M30" s="210"/>
      <c r="N30" s="210"/>
      <c r="O30" s="65">
        <v>0.25</v>
      </c>
      <c r="Q30" s="202"/>
      <c r="R30" s="129"/>
      <c r="S30" s="129"/>
      <c r="T30" s="129"/>
    </row>
    <row r="31" spans="2:20" ht="5.0999999999999996" customHeight="1" thickBot="1" x14ac:dyDescent="0.3">
      <c r="B31" s="200"/>
      <c r="D31" s="209"/>
      <c r="E31" s="210"/>
      <c r="F31" s="210"/>
      <c r="G31" s="210"/>
      <c r="H31" s="210"/>
      <c r="I31" s="210"/>
      <c r="J31" s="210"/>
      <c r="K31" s="210"/>
      <c r="L31" s="210"/>
      <c r="M31" s="210"/>
      <c r="N31" s="210"/>
      <c r="O31" s="218">
        <v>0.25</v>
      </c>
      <c r="Q31" s="202"/>
      <c r="R31" s="129"/>
      <c r="S31" s="129"/>
      <c r="T31" s="129"/>
    </row>
    <row r="32" spans="2:20" ht="15.75" thickBot="1" x14ac:dyDescent="0.3">
      <c r="B32" s="200"/>
      <c r="D32" s="212" t="s">
        <v>242</v>
      </c>
      <c r="E32" s="210"/>
      <c r="F32" s="210"/>
      <c r="G32" s="210"/>
      <c r="H32" s="210"/>
      <c r="I32" s="210"/>
      <c r="J32" s="210"/>
      <c r="K32" s="210"/>
      <c r="L32" s="210"/>
      <c r="M32" s="210"/>
      <c r="N32" s="210"/>
      <c r="O32" s="65">
        <v>0.1</v>
      </c>
      <c r="Q32" s="202"/>
      <c r="R32" s="129"/>
      <c r="S32" s="129"/>
      <c r="T32" s="129"/>
    </row>
    <row r="33" spans="2:20" ht="5.0999999999999996" customHeight="1" thickBot="1" x14ac:dyDescent="0.3">
      <c r="B33" s="200"/>
      <c r="D33" s="209"/>
      <c r="E33" s="210"/>
      <c r="F33" s="210"/>
      <c r="G33" s="210"/>
      <c r="H33" s="210"/>
      <c r="I33" s="210"/>
      <c r="J33" s="210"/>
      <c r="K33" s="210"/>
      <c r="L33" s="210"/>
      <c r="M33" s="210"/>
      <c r="N33" s="210"/>
      <c r="O33" s="218">
        <v>0.56999999999999995</v>
      </c>
      <c r="Q33" s="202"/>
      <c r="R33" s="129"/>
      <c r="S33" s="129"/>
      <c r="T33" s="129"/>
    </row>
    <row r="34" spans="2:20" ht="15.75" thickBot="1" x14ac:dyDescent="0.3">
      <c r="B34" s="200"/>
      <c r="D34" s="219" t="s">
        <v>243</v>
      </c>
      <c r="E34" s="220"/>
      <c r="F34" s="220"/>
      <c r="G34" s="220"/>
      <c r="H34" s="220"/>
      <c r="I34" s="220"/>
      <c r="J34" s="220"/>
      <c r="K34" s="220"/>
      <c r="L34" s="220"/>
      <c r="M34" s="220"/>
      <c r="N34" s="220"/>
      <c r="O34" s="65">
        <f>1-O32-O30</f>
        <v>0.65</v>
      </c>
      <c r="Q34" s="202"/>
      <c r="R34" s="129"/>
      <c r="S34" s="129"/>
      <c r="T34" s="129"/>
    </row>
    <row r="35" spans="2:20" ht="5.0999999999999996" customHeight="1" x14ac:dyDescent="0.25">
      <c r="B35" s="200"/>
      <c r="Q35" s="202"/>
      <c r="R35" s="129"/>
      <c r="S35" s="129"/>
      <c r="T35" s="129"/>
    </row>
    <row r="36" spans="2:20" hidden="1" outlineLevel="1" x14ac:dyDescent="0.25">
      <c r="B36" s="201"/>
      <c r="C36" s="221" t="s">
        <v>5</v>
      </c>
      <c r="N36" s="222">
        <f>R125</f>
        <v>42707.075999999994</v>
      </c>
      <c r="Q36" s="201"/>
    </row>
    <row r="37" spans="2:20" hidden="1" outlineLevel="1" x14ac:dyDescent="0.25">
      <c r="B37" s="201"/>
      <c r="Q37" s="201"/>
    </row>
    <row r="38" spans="2:20" hidden="1" outlineLevel="1" x14ac:dyDescent="0.25">
      <c r="B38" s="201"/>
      <c r="E38" s="223" t="s">
        <v>6</v>
      </c>
      <c r="F38" s="86"/>
      <c r="G38" s="86"/>
      <c r="H38" s="86"/>
      <c r="I38" s="86"/>
      <c r="J38" s="86"/>
      <c r="K38" s="86"/>
      <c r="L38" s="86"/>
      <c r="M38" s="86"/>
      <c r="N38" s="86"/>
      <c r="Q38" s="201"/>
    </row>
    <row r="39" spans="2:20" hidden="1" outlineLevel="1" x14ac:dyDescent="0.25">
      <c r="B39" s="201"/>
      <c r="Q39" s="201"/>
    </row>
    <row r="40" spans="2:20" hidden="1" outlineLevel="1" x14ac:dyDescent="0.25">
      <c r="B40" s="201"/>
      <c r="M40" s="75" t="s">
        <v>7</v>
      </c>
      <c r="N40" s="224">
        <f>O18</f>
        <v>80520</v>
      </c>
      <c r="Q40" s="201"/>
    </row>
    <row r="41" spans="2:20" hidden="1" outlineLevel="1" x14ac:dyDescent="0.25">
      <c r="B41" s="201"/>
      <c r="M41" s="75" t="s">
        <v>8</v>
      </c>
      <c r="N41" s="224">
        <f>N36</f>
        <v>42707.075999999994</v>
      </c>
      <c r="Q41" s="201"/>
    </row>
    <row r="42" spans="2:20" hidden="1" outlineLevel="1" x14ac:dyDescent="0.25">
      <c r="B42" s="201"/>
      <c r="M42" s="75" t="s">
        <v>9</v>
      </c>
      <c r="N42" s="225">
        <v>0</v>
      </c>
      <c r="Q42" s="201"/>
    </row>
    <row r="43" spans="2:20" hidden="1" outlineLevel="1" x14ac:dyDescent="0.25">
      <c r="B43" s="201"/>
      <c r="M43" s="85" t="s">
        <v>10</v>
      </c>
      <c r="N43" s="111">
        <f>N42+N41+N40</f>
        <v>123227.076</v>
      </c>
      <c r="Q43" s="201"/>
    </row>
    <row r="44" spans="2:20" hidden="1" outlineLevel="1" x14ac:dyDescent="0.25">
      <c r="B44" s="201"/>
      <c r="M44" s="85" t="s">
        <v>11</v>
      </c>
      <c r="N44" s="75">
        <f>Z123</f>
        <v>1</v>
      </c>
      <c r="Q44" s="201"/>
    </row>
    <row r="45" spans="2:20" collapsed="1" x14ac:dyDescent="0.25">
      <c r="B45" s="201"/>
      <c r="Q45" s="201"/>
    </row>
    <row r="46" spans="2:20" ht="18.75" x14ac:dyDescent="0.3">
      <c r="B46" s="202"/>
      <c r="C46" s="226" t="s">
        <v>12</v>
      </c>
      <c r="D46" s="140"/>
      <c r="E46" s="140"/>
      <c r="F46" s="140"/>
      <c r="G46" s="140"/>
      <c r="H46" s="140"/>
      <c r="I46" s="140"/>
      <c r="J46" s="140"/>
      <c r="K46" s="140"/>
      <c r="L46" s="140"/>
      <c r="M46" s="140"/>
      <c r="N46" s="140"/>
      <c r="O46" s="140"/>
      <c r="P46" s="227"/>
      <c r="Q46" s="228"/>
    </row>
    <row r="47" spans="2:20" ht="5.0999999999999996" customHeight="1" x14ac:dyDescent="0.3">
      <c r="B47" s="201"/>
      <c r="C47" s="229"/>
      <c r="D47" s="140"/>
      <c r="E47" s="140"/>
      <c r="F47" s="140"/>
      <c r="G47" s="140"/>
      <c r="H47" s="140"/>
      <c r="I47" s="140"/>
      <c r="J47" s="140"/>
      <c r="K47" s="140"/>
      <c r="L47" s="140"/>
      <c r="M47" s="140"/>
      <c r="N47" s="140"/>
      <c r="O47" s="140"/>
      <c r="P47" s="140"/>
      <c r="Q47" s="131"/>
    </row>
    <row r="48" spans="2:20" ht="15.75" thickBot="1" x14ac:dyDescent="0.3">
      <c r="B48" s="201"/>
      <c r="F48" s="131"/>
      <c r="G48" s="131"/>
      <c r="H48" s="308"/>
      <c r="I48" s="308"/>
      <c r="J48" s="308"/>
      <c r="K48" s="148"/>
      <c r="L48" s="148"/>
      <c r="M48" s="148"/>
      <c r="N48" s="148"/>
      <c r="O48" s="148"/>
      <c r="P48" s="230"/>
      <c r="Q48" s="131"/>
    </row>
    <row r="49" spans="2:17" ht="45" x14ac:dyDescent="0.25">
      <c r="B49" s="201"/>
      <c r="F49" s="231"/>
      <c r="G49" s="232"/>
      <c r="H49" s="315" t="s">
        <v>13</v>
      </c>
      <c r="I49" s="316"/>
      <c r="J49" s="233" t="s">
        <v>18</v>
      </c>
      <c r="L49" s="231"/>
      <c r="M49" s="231"/>
      <c r="N49" s="231"/>
      <c r="O49" s="232"/>
      <c r="Q49" s="131"/>
    </row>
    <row r="50" spans="2:17" ht="15.75" thickBot="1" x14ac:dyDescent="0.3">
      <c r="B50" s="201"/>
      <c r="F50" s="195"/>
      <c r="G50" s="196"/>
      <c r="H50" s="317">
        <f>N44</f>
        <v>1</v>
      </c>
      <c r="I50" s="318"/>
      <c r="J50" s="194">
        <f>ROUND((N44*35230),0)</f>
        <v>35230</v>
      </c>
      <c r="L50" s="132"/>
      <c r="M50" s="132"/>
      <c r="N50" s="132"/>
      <c r="O50" s="197"/>
      <c r="Q50" s="131"/>
    </row>
    <row r="51" spans="2:17" x14ac:dyDescent="0.25">
      <c r="B51" s="201"/>
      <c r="C51" s="131"/>
      <c r="D51" s="131"/>
      <c r="E51" s="131"/>
      <c r="F51" s="131"/>
      <c r="G51" s="131"/>
      <c r="H51" s="131"/>
      <c r="I51" s="131"/>
      <c r="J51" s="131"/>
      <c r="K51" s="131"/>
      <c r="L51" s="131"/>
      <c r="M51" s="131"/>
      <c r="N51" s="131"/>
      <c r="O51" s="131"/>
      <c r="P51" s="131"/>
      <c r="Q51" s="131"/>
    </row>
    <row r="52" spans="2:17" ht="18.75" x14ac:dyDescent="0.3">
      <c r="B52" s="202"/>
      <c r="C52" s="234"/>
      <c r="D52" s="235"/>
      <c r="E52" s="235"/>
      <c r="F52" s="235"/>
      <c r="G52" s="235"/>
      <c r="H52" s="236"/>
      <c r="I52" s="237" t="s">
        <v>19</v>
      </c>
      <c r="J52" s="236"/>
      <c r="K52" s="235"/>
      <c r="L52" s="235"/>
      <c r="M52" s="235"/>
      <c r="N52" s="235"/>
      <c r="O52" s="235"/>
      <c r="P52" s="238"/>
      <c r="Q52" s="239"/>
    </row>
    <row r="53" spans="2:17" ht="5.0999999999999996" customHeight="1" x14ac:dyDescent="0.3">
      <c r="B53" s="202"/>
      <c r="C53" s="234"/>
      <c r="D53" s="235"/>
      <c r="E53" s="235"/>
      <c r="F53" s="235"/>
      <c r="G53" s="240"/>
      <c r="H53" s="86"/>
      <c r="I53" s="241"/>
      <c r="J53" s="86"/>
      <c r="K53" s="235"/>
      <c r="L53" s="235"/>
      <c r="M53" s="235"/>
      <c r="N53" s="235"/>
      <c r="O53" s="235"/>
      <c r="P53" s="238"/>
      <c r="Q53" s="239"/>
    </row>
    <row r="54" spans="2:17" ht="30" x14ac:dyDescent="0.25">
      <c r="B54" s="202"/>
      <c r="C54" s="242"/>
      <c r="D54" s="238"/>
      <c r="E54" s="238"/>
      <c r="F54" s="238"/>
      <c r="G54" s="239"/>
      <c r="H54" s="231"/>
      <c r="I54" s="243" t="s">
        <v>18</v>
      </c>
      <c r="K54" s="238"/>
      <c r="L54" s="238"/>
      <c r="M54" s="238"/>
      <c r="N54" s="238"/>
      <c r="O54" s="238"/>
      <c r="P54" s="238"/>
      <c r="Q54" s="239"/>
    </row>
    <row r="55" spans="2:17" x14ac:dyDescent="0.25">
      <c r="B55" s="202"/>
      <c r="C55" s="242"/>
      <c r="D55" s="238"/>
      <c r="E55" s="238"/>
      <c r="F55" s="238"/>
      <c r="G55" s="239"/>
      <c r="H55" s="133"/>
      <c r="I55" s="157">
        <v>8490</v>
      </c>
      <c r="K55" s="238"/>
      <c r="L55" s="238"/>
      <c r="M55" s="238"/>
      <c r="N55" s="238"/>
      <c r="O55" s="238"/>
      <c r="P55" s="238"/>
      <c r="Q55" s="239"/>
    </row>
    <row r="56" spans="2:17" ht="20.45" customHeight="1" x14ac:dyDescent="0.25">
      <c r="B56" s="202"/>
      <c r="C56" s="244"/>
      <c r="D56" s="238"/>
      <c r="E56" s="238"/>
      <c r="F56" s="238"/>
      <c r="G56" s="238"/>
      <c r="H56" s="238"/>
      <c r="I56" s="238"/>
      <c r="J56" s="238"/>
      <c r="K56" s="238"/>
      <c r="L56" s="238"/>
      <c r="M56" s="238"/>
      <c r="N56" s="238"/>
      <c r="O56" s="238"/>
      <c r="P56" s="238"/>
      <c r="Q56" s="239"/>
    </row>
    <row r="57" spans="2:17" x14ac:dyDescent="0.25">
      <c r="B57" s="202"/>
      <c r="C57" s="244"/>
      <c r="D57" s="238"/>
      <c r="E57" s="129"/>
      <c r="F57" s="129"/>
      <c r="G57" s="129"/>
      <c r="H57" s="129"/>
      <c r="I57" s="129"/>
      <c r="J57" s="129"/>
      <c r="K57" s="129"/>
      <c r="L57" s="238"/>
      <c r="M57" s="238"/>
      <c r="N57" s="238"/>
      <c r="O57" s="238"/>
      <c r="P57" s="238"/>
      <c r="Q57" s="239"/>
    </row>
    <row r="58" spans="2:17" ht="26.25" x14ac:dyDescent="0.4">
      <c r="B58" s="202"/>
      <c r="C58" s="245" t="s">
        <v>20</v>
      </c>
      <c r="D58" s="238"/>
      <c r="E58" s="129"/>
      <c r="F58" s="129"/>
      <c r="G58" s="129"/>
      <c r="H58" s="129"/>
      <c r="I58" s="129"/>
      <c r="J58" s="129"/>
      <c r="K58" s="129"/>
      <c r="L58" s="238"/>
      <c r="M58" s="238"/>
      <c r="N58" s="238"/>
      <c r="O58" s="238"/>
      <c r="P58" s="238"/>
      <c r="Q58" s="239"/>
    </row>
    <row r="59" spans="2:17" x14ac:dyDescent="0.25">
      <c r="B59" s="202"/>
      <c r="C59" s="244"/>
      <c r="D59" s="238"/>
      <c r="E59" s="129"/>
      <c r="F59" s="129"/>
      <c r="G59" s="129"/>
      <c r="H59" s="129"/>
      <c r="I59" s="129"/>
      <c r="J59" s="129"/>
      <c r="K59" s="129"/>
      <c r="L59" s="238"/>
      <c r="M59" s="238"/>
      <c r="N59" s="238"/>
      <c r="O59" s="238"/>
      <c r="P59" s="238"/>
      <c r="Q59" s="239"/>
    </row>
    <row r="60" spans="2:17" x14ac:dyDescent="0.25">
      <c r="B60" s="202"/>
      <c r="C60" s="246" t="s">
        <v>21</v>
      </c>
      <c r="D60" s="247"/>
      <c r="E60" s="247"/>
      <c r="F60" s="247"/>
      <c r="G60" s="247"/>
      <c r="H60" s="247"/>
      <c r="I60" s="247"/>
      <c r="J60" s="248" t="s">
        <v>22</v>
      </c>
      <c r="K60" s="249" t="s">
        <v>23</v>
      </c>
      <c r="L60" s="249"/>
      <c r="M60" s="249"/>
      <c r="N60" s="249"/>
      <c r="P60" s="248" t="s">
        <v>22</v>
      </c>
      <c r="Q60" s="239"/>
    </row>
    <row r="61" spans="2:17" x14ac:dyDescent="0.25">
      <c r="B61" s="201"/>
      <c r="C61" s="250"/>
      <c r="D61" s="251"/>
      <c r="E61" s="252"/>
      <c r="F61" s="252" t="s">
        <v>255</v>
      </c>
      <c r="G61" s="73">
        <v>32.74</v>
      </c>
      <c r="H61" s="251"/>
      <c r="I61" s="251"/>
      <c r="J61" s="253"/>
      <c r="K61" s="238"/>
      <c r="L61" s="238"/>
      <c r="M61" s="254" t="s">
        <v>24</v>
      </c>
      <c r="N61" s="71">
        <v>9.35</v>
      </c>
      <c r="P61" s="255"/>
      <c r="Q61" s="239"/>
    </row>
    <row r="62" spans="2:17" x14ac:dyDescent="0.25">
      <c r="B62" s="201"/>
      <c r="C62" s="256"/>
      <c r="D62" s="205"/>
      <c r="E62" s="257"/>
      <c r="F62" s="252" t="s">
        <v>256</v>
      </c>
      <c r="G62" s="73" t="s">
        <v>257</v>
      </c>
      <c r="H62" s="251"/>
      <c r="I62" s="251"/>
      <c r="J62" s="253"/>
      <c r="K62" s="238"/>
      <c r="M62" s="258" t="s">
        <v>25</v>
      </c>
      <c r="N62" s="72">
        <v>9.2799999999999994</v>
      </c>
      <c r="O62" s="74" t="s">
        <v>26</v>
      </c>
      <c r="P62" s="129"/>
      <c r="Q62" s="239"/>
    </row>
    <row r="63" spans="2:17" x14ac:dyDescent="0.25">
      <c r="B63" s="201"/>
      <c r="C63" s="259"/>
      <c r="D63" s="91"/>
      <c r="E63" s="91"/>
      <c r="F63" s="260"/>
      <c r="G63" s="261"/>
      <c r="H63" s="261"/>
      <c r="I63" s="261"/>
      <c r="J63" s="262"/>
      <c r="K63" s="263"/>
      <c r="L63" s="263"/>
      <c r="M63" s="238"/>
      <c r="N63" s="238"/>
      <c r="O63" s="238"/>
      <c r="P63" s="238"/>
      <c r="Q63" s="239"/>
    </row>
    <row r="64" spans="2:17" ht="15.75" x14ac:dyDescent="0.25">
      <c r="B64" s="201"/>
      <c r="F64" s="307" t="s">
        <v>258</v>
      </c>
      <c r="G64" s="307"/>
      <c r="H64" s="307"/>
      <c r="I64" s="307"/>
      <c r="J64" s="307"/>
      <c r="K64" s="307"/>
      <c r="L64" s="140"/>
      <c r="M64" s="264"/>
      <c r="N64" s="265"/>
      <c r="O64" s="238"/>
      <c r="P64" s="238"/>
      <c r="Q64" s="239"/>
    </row>
    <row r="65" spans="2:17" x14ac:dyDescent="0.25">
      <c r="B65" s="201"/>
      <c r="F65" s="328" t="s">
        <v>259</v>
      </c>
      <c r="G65" s="329"/>
      <c r="H65" s="330"/>
      <c r="I65" s="325" t="s">
        <v>260</v>
      </c>
      <c r="J65" s="326"/>
      <c r="K65" s="327"/>
      <c r="L65" s="140"/>
      <c r="M65" s="264"/>
      <c r="N65" s="265"/>
      <c r="O65" s="255"/>
      <c r="P65" s="238"/>
      <c r="Q65" s="239"/>
    </row>
    <row r="66" spans="2:17" x14ac:dyDescent="0.25">
      <c r="B66" s="201"/>
      <c r="F66" s="266" t="s">
        <v>14</v>
      </c>
      <c r="G66" s="331" t="s">
        <v>261</v>
      </c>
      <c r="H66" s="331"/>
      <c r="I66" s="189">
        <v>4.63</v>
      </c>
      <c r="J66" s="320" t="s">
        <v>262</v>
      </c>
      <c r="K66" s="321"/>
      <c r="L66" s="140"/>
      <c r="M66" s="264"/>
      <c r="N66" s="267"/>
      <c r="O66" s="268"/>
      <c r="P66" s="269"/>
      <c r="Q66" s="239"/>
    </row>
    <row r="67" spans="2:17" x14ac:dyDescent="0.25">
      <c r="B67" s="201"/>
      <c r="F67" s="270" t="s">
        <v>15</v>
      </c>
      <c r="G67" s="332" t="s">
        <v>264</v>
      </c>
      <c r="H67" s="332"/>
      <c r="I67" s="190">
        <v>8.1</v>
      </c>
      <c r="J67" s="308" t="s">
        <v>262</v>
      </c>
      <c r="K67" s="322"/>
      <c r="L67" s="140"/>
      <c r="M67" s="264"/>
      <c r="N67" s="265"/>
      <c r="O67" s="238"/>
      <c r="P67" s="238"/>
      <c r="Q67" s="239"/>
    </row>
    <row r="68" spans="2:17" x14ac:dyDescent="0.25">
      <c r="B68" s="201"/>
      <c r="F68" s="271" t="s">
        <v>16</v>
      </c>
      <c r="G68" s="319" t="s">
        <v>263</v>
      </c>
      <c r="H68" s="319"/>
      <c r="I68" s="191">
        <v>9.9499999999999993</v>
      </c>
      <c r="J68" s="323" t="s">
        <v>262</v>
      </c>
      <c r="K68" s="324"/>
      <c r="L68" s="140"/>
      <c r="M68" s="264"/>
      <c r="N68" s="265"/>
      <c r="O68" s="238"/>
      <c r="P68" s="238"/>
      <c r="Q68" s="239"/>
    </row>
    <row r="69" spans="2:17" x14ac:dyDescent="0.25">
      <c r="B69" s="202"/>
      <c r="C69" s="244"/>
      <c r="D69" s="238"/>
      <c r="E69" s="238"/>
      <c r="F69" s="238"/>
      <c r="G69" s="238"/>
      <c r="H69" s="238"/>
      <c r="I69" s="238"/>
      <c r="J69" s="238"/>
      <c r="K69" s="238"/>
      <c r="L69" s="238"/>
      <c r="M69" s="238"/>
      <c r="N69" s="238"/>
      <c r="O69" s="238"/>
      <c r="P69" s="238"/>
      <c r="Q69" s="239"/>
    </row>
    <row r="70" spans="2:17" x14ac:dyDescent="0.25">
      <c r="B70" s="202"/>
      <c r="C70" s="244"/>
      <c r="D70" s="238"/>
      <c r="E70" s="238"/>
      <c r="F70" s="238"/>
      <c r="G70" s="238"/>
      <c r="H70" s="238"/>
      <c r="I70" s="238"/>
      <c r="J70" s="238"/>
      <c r="K70" s="238"/>
      <c r="L70" s="238"/>
      <c r="M70" s="238"/>
      <c r="N70" s="238"/>
      <c r="O70" s="238"/>
      <c r="P70" s="238"/>
      <c r="Q70" s="239"/>
    </row>
    <row r="71" spans="2:17" x14ac:dyDescent="0.25">
      <c r="B71" s="202"/>
      <c r="C71" s="244"/>
      <c r="D71" s="238"/>
      <c r="E71" s="238"/>
      <c r="F71" s="238"/>
      <c r="G71" s="238"/>
      <c r="H71" s="238"/>
      <c r="I71" s="238"/>
      <c r="J71" s="238"/>
      <c r="K71" s="238"/>
      <c r="L71" s="238"/>
      <c r="M71" s="238"/>
      <c r="N71" s="238"/>
      <c r="O71" s="238"/>
      <c r="P71" s="238"/>
      <c r="Q71" s="239"/>
    </row>
    <row r="72" spans="2:17" ht="26.25" x14ac:dyDescent="0.4">
      <c r="B72" s="202"/>
      <c r="C72" s="245" t="s">
        <v>27</v>
      </c>
      <c r="D72" s="238"/>
      <c r="E72" s="238"/>
      <c r="F72" s="238"/>
      <c r="G72" s="238"/>
      <c r="H72" s="238"/>
      <c r="I72" s="238"/>
      <c r="J72" s="238"/>
      <c r="K72" s="238"/>
      <c r="L72" s="238"/>
      <c r="M72" s="238"/>
      <c r="N72" s="238"/>
      <c r="O72" s="238"/>
      <c r="P72" s="238"/>
      <c r="Q72" s="239"/>
    </row>
    <row r="73" spans="2:17" ht="15" customHeight="1" x14ac:dyDescent="0.25">
      <c r="B73" s="202"/>
      <c r="C73" s="272" t="s">
        <v>266</v>
      </c>
      <c r="D73" s="238"/>
      <c r="E73" s="238"/>
      <c r="F73" s="238"/>
      <c r="G73" s="238"/>
      <c r="H73" s="238"/>
      <c r="I73" s="238"/>
      <c r="J73" s="238"/>
      <c r="K73" s="238"/>
      <c r="L73" s="238"/>
      <c r="M73" s="238"/>
      <c r="N73" s="238"/>
      <c r="O73" s="238"/>
      <c r="P73" s="238"/>
      <c r="Q73" s="239"/>
    </row>
    <row r="74" spans="2:17" ht="15" customHeight="1" x14ac:dyDescent="0.25">
      <c r="B74" s="202"/>
      <c r="C74" s="272" t="s">
        <v>267</v>
      </c>
      <c r="D74" s="238"/>
      <c r="E74" s="238"/>
      <c r="F74" s="238"/>
      <c r="G74" s="238"/>
      <c r="H74" s="238"/>
      <c r="I74" s="238"/>
      <c r="J74" s="238"/>
      <c r="K74" s="238"/>
      <c r="L74" s="238"/>
      <c r="M74" s="238"/>
      <c r="N74" s="238"/>
      <c r="O74" s="238"/>
      <c r="P74" s="238"/>
      <c r="Q74" s="239"/>
    </row>
    <row r="75" spans="2:17" ht="15" customHeight="1" x14ac:dyDescent="0.25">
      <c r="B75" s="202"/>
      <c r="C75" s="272" t="s">
        <v>269</v>
      </c>
      <c r="D75" s="238"/>
      <c r="E75" s="129"/>
      <c r="F75" s="129"/>
      <c r="G75" s="129"/>
      <c r="H75" s="129"/>
      <c r="I75" s="129"/>
      <c r="J75" s="129"/>
      <c r="K75" s="129"/>
      <c r="L75" s="129"/>
      <c r="M75" s="129"/>
      <c r="N75" s="129"/>
      <c r="O75" s="129"/>
      <c r="P75" s="129"/>
      <c r="Q75" s="239"/>
    </row>
    <row r="76" spans="2:17" ht="15" customHeight="1" x14ac:dyDescent="0.25">
      <c r="B76" s="202"/>
      <c r="C76" s="250" t="s">
        <v>268</v>
      </c>
      <c r="D76" s="129"/>
      <c r="E76" s="129"/>
      <c r="F76" s="129"/>
      <c r="G76" s="129"/>
      <c r="H76" s="129"/>
      <c r="I76" s="129"/>
      <c r="J76" s="129"/>
      <c r="K76" s="129"/>
      <c r="L76" s="129"/>
      <c r="M76" s="129"/>
      <c r="N76" s="129"/>
      <c r="O76" s="129"/>
      <c r="P76" s="129"/>
      <c r="Q76" s="239"/>
    </row>
    <row r="77" spans="2:17" ht="15" customHeight="1" x14ac:dyDescent="0.25">
      <c r="B77" s="202"/>
      <c r="C77" s="250"/>
      <c r="D77" s="129"/>
      <c r="E77" s="129"/>
      <c r="F77" s="129"/>
      <c r="G77" s="129"/>
      <c r="H77" s="129"/>
      <c r="I77" s="129"/>
      <c r="J77" s="129"/>
      <c r="K77" s="129"/>
      <c r="L77" s="129"/>
      <c r="M77" s="129"/>
      <c r="N77" s="129"/>
      <c r="O77" s="129"/>
      <c r="P77" s="129"/>
      <c r="Q77" s="239"/>
    </row>
    <row r="78" spans="2:17" ht="15" customHeight="1" x14ac:dyDescent="0.25">
      <c r="B78" s="202"/>
      <c r="C78" s="250"/>
      <c r="D78" s="129"/>
      <c r="E78" s="129"/>
      <c r="F78" s="129"/>
      <c r="G78" s="129"/>
      <c r="H78" s="129"/>
      <c r="I78" s="129"/>
      <c r="J78" s="273" t="s">
        <v>28</v>
      </c>
      <c r="K78" s="274">
        <v>1</v>
      </c>
      <c r="L78" s="129"/>
      <c r="M78" s="129"/>
      <c r="N78" s="129"/>
      <c r="O78" s="129"/>
      <c r="P78" s="129"/>
      <c r="Q78" s="239"/>
    </row>
    <row r="79" spans="2:17" x14ac:dyDescent="0.25">
      <c r="B79" s="202"/>
      <c r="C79" s="244"/>
      <c r="D79" s="238"/>
      <c r="E79" s="263"/>
      <c r="F79" s="263"/>
      <c r="G79" s="263"/>
      <c r="H79" s="263"/>
      <c r="I79" s="263"/>
      <c r="J79" s="263"/>
      <c r="K79" s="263"/>
      <c r="L79" s="263"/>
      <c r="M79" s="263"/>
      <c r="N79" s="263"/>
      <c r="O79" s="263"/>
      <c r="P79" s="263"/>
      <c r="Q79" s="239"/>
    </row>
    <row r="80" spans="2:17" x14ac:dyDescent="0.25">
      <c r="B80" s="202"/>
      <c r="C80" s="275"/>
      <c r="D80" s="276"/>
      <c r="E80" s="277" t="s">
        <v>29</v>
      </c>
      <c r="F80" s="277" t="s">
        <v>30</v>
      </c>
      <c r="G80" s="277" t="s">
        <v>31</v>
      </c>
      <c r="H80" s="277" t="s">
        <v>32</v>
      </c>
      <c r="I80" s="277" t="s">
        <v>33</v>
      </c>
      <c r="J80" s="277" t="s">
        <v>34</v>
      </c>
      <c r="K80" s="277" t="s">
        <v>35</v>
      </c>
      <c r="L80" s="277" t="s">
        <v>36</v>
      </c>
      <c r="M80" s="277" t="s">
        <v>37</v>
      </c>
      <c r="N80" s="277" t="s">
        <v>38</v>
      </c>
      <c r="O80" s="277" t="s">
        <v>39</v>
      </c>
      <c r="P80" s="277" t="s">
        <v>40</v>
      </c>
      <c r="Q80" s="278"/>
    </row>
    <row r="81" spans="2:17" x14ac:dyDescent="0.25">
      <c r="B81" s="201"/>
      <c r="C81" s="230"/>
      <c r="D81" s="279" t="s">
        <v>265</v>
      </c>
      <c r="E81" s="66">
        <v>5.0324999999999998</v>
      </c>
      <c r="F81" s="67">
        <v>5.0324999999999998</v>
      </c>
      <c r="G81" s="67">
        <v>5.57136546</v>
      </c>
      <c r="H81" s="67">
        <v>8.8045582200000005</v>
      </c>
      <c r="I81" s="67">
        <v>12.57661644</v>
      </c>
      <c r="J81" s="67">
        <v>15.8098092</v>
      </c>
      <c r="K81" s="67">
        <v>15.8098092</v>
      </c>
      <c r="L81" s="67">
        <v>14.73207828</v>
      </c>
      <c r="M81" s="67">
        <v>11.49888552</v>
      </c>
      <c r="N81" s="67">
        <v>8.8045582200000005</v>
      </c>
      <c r="O81" s="67">
        <v>5.57136546</v>
      </c>
      <c r="P81" s="67">
        <v>5.0324999999999998</v>
      </c>
      <c r="Q81" s="278"/>
    </row>
    <row r="82" spans="2:17" x14ac:dyDescent="0.25">
      <c r="B82" s="201"/>
      <c r="C82" s="230"/>
      <c r="D82" s="280" t="s">
        <v>41</v>
      </c>
      <c r="E82" s="68">
        <f>5*I66+G61</f>
        <v>55.89</v>
      </c>
      <c r="F82" s="68">
        <f>E82</f>
        <v>55.89</v>
      </c>
      <c r="G82" s="69">
        <f>5.6*I66+G61</f>
        <v>58.667999999999999</v>
      </c>
      <c r="H82" s="68">
        <f>8.8*I66+G61</f>
        <v>73.484000000000009</v>
      </c>
      <c r="I82" s="69">
        <f>12.6*I66+G61</f>
        <v>91.078000000000003</v>
      </c>
      <c r="J82" s="69">
        <f>15*I66+0.8*I67+G61</f>
        <v>108.67000000000002</v>
      </c>
      <c r="K82" s="69">
        <f>J82</f>
        <v>108.67000000000002</v>
      </c>
      <c r="L82" s="69">
        <f>14.7*I66+G61</f>
        <v>100.80099999999999</v>
      </c>
      <c r="M82" s="69">
        <f>11.5*I66+G61</f>
        <v>85.984999999999999</v>
      </c>
      <c r="N82" s="69">
        <f>H82</f>
        <v>73.484000000000009</v>
      </c>
      <c r="O82" s="69">
        <f>G82</f>
        <v>58.667999999999999</v>
      </c>
      <c r="P82" s="69">
        <f>E82</f>
        <v>55.89</v>
      </c>
      <c r="Q82" s="278"/>
    </row>
    <row r="83" spans="2:17" x14ac:dyDescent="0.25">
      <c r="B83" s="201"/>
      <c r="C83" s="230"/>
      <c r="D83" s="280" t="s">
        <v>42</v>
      </c>
      <c r="E83" s="68">
        <f>E81*N62+N61</f>
        <v>56.051599999999993</v>
      </c>
      <c r="F83" s="69">
        <v>71.618799999999993</v>
      </c>
      <c r="G83" s="69">
        <v>71.618799999999993</v>
      </c>
      <c r="H83" s="69">
        <v>71.618799999999993</v>
      </c>
      <c r="I83" s="69">
        <v>71.618799999999993</v>
      </c>
      <c r="J83" s="69">
        <v>71.618799999999993</v>
      </c>
      <c r="K83" s="69">
        <v>71.618799999999993</v>
      </c>
      <c r="L83" s="69">
        <v>71.618799999999993</v>
      </c>
      <c r="M83" s="69">
        <v>71.618799999999993</v>
      </c>
      <c r="N83" s="69">
        <v>71.618799999999993</v>
      </c>
      <c r="O83" s="69">
        <v>71.618799999999993</v>
      </c>
      <c r="P83" s="69">
        <v>71.618799999999993</v>
      </c>
      <c r="Q83" s="278"/>
    </row>
    <row r="84" spans="2:17" x14ac:dyDescent="0.25">
      <c r="B84" s="201"/>
      <c r="C84" s="230"/>
      <c r="D84" s="280" t="s">
        <v>43</v>
      </c>
      <c r="E84" s="68">
        <f>E83+E82</f>
        <v>111.94159999999999</v>
      </c>
      <c r="F84" s="69">
        <f t="shared" ref="F84:P84" si="0">F83+F82</f>
        <v>127.50879999999999</v>
      </c>
      <c r="G84" s="69">
        <f t="shared" si="0"/>
        <v>130.2868</v>
      </c>
      <c r="H84" s="69">
        <f t="shared" si="0"/>
        <v>145.1028</v>
      </c>
      <c r="I84" s="69">
        <f t="shared" si="0"/>
        <v>162.6968</v>
      </c>
      <c r="J84" s="69">
        <f t="shared" si="0"/>
        <v>180.28880000000001</v>
      </c>
      <c r="K84" s="69">
        <f t="shared" si="0"/>
        <v>180.28880000000001</v>
      </c>
      <c r="L84" s="69">
        <f t="shared" si="0"/>
        <v>172.41979999999998</v>
      </c>
      <c r="M84" s="69">
        <f t="shared" si="0"/>
        <v>157.60379999999998</v>
      </c>
      <c r="N84" s="69">
        <f t="shared" si="0"/>
        <v>145.1028</v>
      </c>
      <c r="O84" s="69">
        <f t="shared" si="0"/>
        <v>130.2868</v>
      </c>
      <c r="P84" s="69">
        <f t="shared" si="0"/>
        <v>127.50879999999999</v>
      </c>
      <c r="Q84" s="278"/>
    </row>
    <row r="85" spans="2:17" ht="15.75" thickBot="1" x14ac:dyDescent="0.3">
      <c r="B85" s="201"/>
      <c r="C85" s="244"/>
      <c r="D85" s="254"/>
      <c r="E85" s="281"/>
      <c r="F85" s="281"/>
      <c r="G85" s="281"/>
      <c r="H85" s="282"/>
      <c r="I85" s="282"/>
      <c r="J85" s="282"/>
      <c r="K85" s="281"/>
      <c r="L85" s="281"/>
      <c r="M85" s="281"/>
      <c r="N85" s="281"/>
      <c r="O85" s="281"/>
      <c r="P85" s="281"/>
      <c r="Q85" s="278"/>
    </row>
    <row r="86" spans="2:17" ht="15.75" thickBot="1" x14ac:dyDescent="0.3">
      <c r="B86" s="202"/>
      <c r="C86" s="244"/>
      <c r="D86" s="254"/>
      <c r="E86" s="238"/>
      <c r="F86" s="238"/>
      <c r="G86" s="239"/>
      <c r="H86" s="283"/>
      <c r="I86" s="284" t="s">
        <v>44</v>
      </c>
      <c r="J86" s="70">
        <f>SUM(E84:P84)</f>
        <v>1771.0364000000002</v>
      </c>
      <c r="K86" s="253"/>
      <c r="L86" s="238"/>
      <c r="M86" s="238"/>
      <c r="N86" s="238"/>
      <c r="O86" s="238"/>
      <c r="P86" s="238"/>
      <c r="Q86" s="239"/>
    </row>
    <row r="87" spans="2:17" x14ac:dyDescent="0.25">
      <c r="B87" s="202"/>
      <c r="C87" s="129"/>
      <c r="D87" s="129"/>
      <c r="E87" s="129"/>
      <c r="F87" s="129"/>
      <c r="G87" s="129"/>
      <c r="H87" s="238"/>
      <c r="I87" s="238"/>
      <c r="J87" s="238"/>
      <c r="K87" s="129"/>
      <c r="L87" s="129"/>
      <c r="M87" s="129"/>
      <c r="N87" s="129"/>
      <c r="O87" s="129"/>
      <c r="P87" s="129"/>
      <c r="Q87" s="200"/>
    </row>
    <row r="88" spans="2:17" ht="15.75" thickBot="1" x14ac:dyDescent="0.3">
      <c r="B88" s="201"/>
    </row>
    <row r="89" spans="2:17" ht="15.75" thickBot="1" x14ac:dyDescent="0.3">
      <c r="B89" s="201"/>
      <c r="C89" s="131"/>
      <c r="D89" s="131"/>
      <c r="E89" s="131"/>
      <c r="F89" s="131"/>
      <c r="G89" s="131"/>
      <c r="H89" s="131"/>
      <c r="I89" s="131"/>
      <c r="J89" s="131"/>
      <c r="K89" s="131"/>
      <c r="L89" s="131"/>
      <c r="M89" s="131"/>
      <c r="N89" s="131"/>
      <c r="O89" s="131"/>
      <c r="P89" s="131"/>
      <c r="Q89" s="285"/>
    </row>
    <row r="90" spans="2:17" ht="15.75" thickBot="1" x14ac:dyDescent="0.3">
      <c r="B90" s="201"/>
      <c r="C90" s="230"/>
      <c r="H90" s="286"/>
      <c r="Q90" s="287"/>
    </row>
    <row r="91" spans="2:17" ht="15.75" thickBot="1" x14ac:dyDescent="0.3">
      <c r="B91" s="201"/>
      <c r="C91" s="288"/>
      <c r="D91" s="289"/>
      <c r="E91" s="289"/>
      <c r="F91" s="289"/>
      <c r="G91" s="289"/>
      <c r="H91" s="290"/>
      <c r="I91" s="289"/>
      <c r="J91" s="289"/>
      <c r="K91" s="289"/>
      <c r="L91" s="289"/>
      <c r="M91" s="289"/>
      <c r="N91" s="289"/>
      <c r="O91" s="289"/>
      <c r="P91" s="289"/>
      <c r="Q91" s="291"/>
    </row>
    <row r="92" spans="2:17" ht="15.75" thickBot="1" x14ac:dyDescent="0.3">
      <c r="B92" s="201"/>
      <c r="C92" s="292"/>
      <c r="D92" s="292"/>
      <c r="E92" s="292"/>
      <c r="F92" s="292"/>
      <c r="G92" s="292"/>
      <c r="H92" s="293"/>
      <c r="I92" s="292"/>
      <c r="J92" s="292"/>
      <c r="K92" s="292"/>
      <c r="L92" s="292"/>
      <c r="M92" s="292"/>
      <c r="N92" s="292"/>
      <c r="O92" s="292"/>
      <c r="P92" s="292"/>
      <c r="Q92" s="291"/>
    </row>
    <row r="93" spans="2:17" ht="15.75" thickBot="1" x14ac:dyDescent="0.3">
      <c r="B93" s="201"/>
      <c r="C93" s="294"/>
      <c r="D93" s="292"/>
      <c r="E93" s="292"/>
      <c r="F93" s="292"/>
      <c r="G93" s="292"/>
      <c r="H93" s="293"/>
      <c r="I93" s="292"/>
      <c r="J93" s="292"/>
      <c r="K93" s="292"/>
      <c r="L93" s="292"/>
      <c r="M93" s="292"/>
      <c r="N93" s="292"/>
      <c r="O93" s="292"/>
      <c r="P93" s="292"/>
      <c r="Q93" s="291"/>
    </row>
    <row r="94" spans="2:17" ht="15.75" thickBot="1" x14ac:dyDescent="0.3">
      <c r="B94" s="201"/>
      <c r="C94" s="294"/>
      <c r="D94" s="292"/>
      <c r="E94" s="292"/>
      <c r="F94" s="292"/>
      <c r="G94" s="292"/>
      <c r="H94" s="292"/>
      <c r="I94" s="292"/>
      <c r="J94" s="292"/>
      <c r="K94" s="292"/>
      <c r="L94" s="292"/>
      <c r="M94" s="292"/>
      <c r="N94" s="292"/>
      <c r="O94" s="292"/>
      <c r="P94" s="292"/>
      <c r="Q94" s="291"/>
    </row>
    <row r="95" spans="2:17" ht="15.75" thickBot="1" x14ac:dyDescent="0.3">
      <c r="B95" s="201"/>
      <c r="C95" s="294"/>
      <c r="D95" s="292"/>
      <c r="E95" s="292"/>
      <c r="F95" s="292"/>
      <c r="G95" s="292"/>
      <c r="H95" s="292"/>
      <c r="I95" s="292"/>
      <c r="J95" s="292"/>
      <c r="K95" s="292"/>
      <c r="L95" s="292"/>
      <c r="M95" s="292"/>
      <c r="N95" s="292"/>
      <c r="O95" s="292"/>
      <c r="P95" s="292"/>
      <c r="Q95" s="291"/>
    </row>
    <row r="96" spans="2:17" x14ac:dyDescent="0.25">
      <c r="B96" s="202"/>
      <c r="C96" s="295"/>
      <c r="D96" s="296"/>
      <c r="E96" s="296"/>
      <c r="F96" s="296"/>
      <c r="G96" s="296"/>
      <c r="H96" s="296"/>
      <c r="I96" s="296"/>
      <c r="J96" s="296"/>
      <c r="K96" s="296"/>
      <c r="L96" s="296"/>
      <c r="M96" s="296"/>
      <c r="N96" s="296"/>
      <c r="O96" s="296"/>
      <c r="P96" s="296"/>
      <c r="Q96" s="297"/>
    </row>
    <row r="97" spans="2:17" x14ac:dyDescent="0.25">
      <c r="B97" s="298"/>
      <c r="C97" s="141"/>
      <c r="D97" s="141"/>
      <c r="E97" s="141"/>
      <c r="F97" s="141"/>
      <c r="G97" s="141"/>
      <c r="H97" s="141"/>
      <c r="I97" s="141"/>
      <c r="J97" s="141"/>
      <c r="K97" s="141"/>
      <c r="L97" s="141"/>
      <c r="M97" s="141"/>
      <c r="N97" s="141"/>
      <c r="O97" s="141"/>
      <c r="P97" s="141"/>
      <c r="Q97" s="299"/>
    </row>
    <row r="99" spans="2:17" hidden="1" outlineLevel="1" x14ac:dyDescent="0.25">
      <c r="I99" s="75" t="s">
        <v>46</v>
      </c>
      <c r="J99" s="76" t="e">
        <f>'Monthly Cost Compare'!T18</f>
        <v>#REF!</v>
      </c>
    </row>
    <row r="100" spans="2:17" hidden="1" outlineLevel="1" x14ac:dyDescent="0.25">
      <c r="I100" s="75" t="s">
        <v>47</v>
      </c>
      <c r="J100" s="76" t="e">
        <f>'Monthly Cost Compare'!T42</f>
        <v>#REF!</v>
      </c>
    </row>
    <row r="101" spans="2:17" ht="15.75" hidden="1" outlineLevel="1" thickBot="1" x14ac:dyDescent="0.3">
      <c r="D101" s="75"/>
      <c r="G101" s="77"/>
      <c r="H101" s="77"/>
      <c r="I101" s="78" t="s">
        <v>48</v>
      </c>
      <c r="J101" s="79" t="e">
        <f>'Monthly Cost Compare'!T65</f>
        <v>#REF!</v>
      </c>
    </row>
    <row r="102" spans="2:17" ht="15.75" hidden="1" outlineLevel="1" thickTop="1" x14ac:dyDescent="0.25">
      <c r="D102" s="75"/>
      <c r="I102" s="75" t="s">
        <v>49</v>
      </c>
      <c r="J102" s="76" t="e">
        <f>AVERAGE(J99:J101)</f>
        <v>#REF!</v>
      </c>
    </row>
    <row r="103" spans="2:17" hidden="1" outlineLevel="1" x14ac:dyDescent="0.25">
      <c r="D103" s="75"/>
      <c r="I103" s="75" t="s">
        <v>50</v>
      </c>
      <c r="J103" s="80" t="e">
        <f>J86/J102</f>
        <v>#REF!</v>
      </c>
    </row>
    <row r="104" spans="2:17" hidden="1" outlineLevel="1" x14ac:dyDescent="0.25">
      <c r="D104" s="75"/>
    </row>
    <row r="105" spans="2:17" hidden="1" outlineLevel="1" x14ac:dyDescent="0.25">
      <c r="D105" s="75"/>
      <c r="E105" s="81"/>
      <c r="F105" s="81"/>
      <c r="G105" s="81"/>
      <c r="H105" s="81"/>
      <c r="I105" s="82" t="s">
        <v>51</v>
      </c>
      <c r="J105" s="81">
        <f>'Tap Fee Cost Compare'!C10</f>
        <v>32244</v>
      </c>
      <c r="K105" s="81"/>
      <c r="L105" s="81"/>
      <c r="M105" s="81"/>
      <c r="N105" s="81"/>
      <c r="O105" s="81"/>
      <c r="P105" s="81"/>
    </row>
    <row r="106" spans="2:17" hidden="1" outlineLevel="1" x14ac:dyDescent="0.25">
      <c r="D106" s="75"/>
      <c r="E106" s="81"/>
      <c r="F106" s="81"/>
      <c r="G106" s="81"/>
      <c r="H106" s="81"/>
      <c r="I106" s="82" t="s">
        <v>52</v>
      </c>
      <c r="J106" s="81">
        <f>'Tap Fee Cost Compare'!C22</f>
        <v>31150</v>
      </c>
      <c r="K106" s="81"/>
      <c r="L106" s="81"/>
      <c r="M106" s="81"/>
      <c r="N106" s="81"/>
      <c r="O106" s="81"/>
      <c r="P106" s="81"/>
    </row>
    <row r="107" spans="2:17" ht="15.75" hidden="1" outlineLevel="1" thickBot="1" x14ac:dyDescent="0.3">
      <c r="D107" s="75"/>
      <c r="E107" s="81"/>
      <c r="F107" s="81"/>
      <c r="G107" s="83"/>
      <c r="H107" s="83"/>
      <c r="I107" s="84" t="s">
        <v>53</v>
      </c>
      <c r="J107" s="83">
        <f>'Tap Fee Cost Compare'!C33</f>
        <v>21999</v>
      </c>
      <c r="K107" s="81"/>
      <c r="L107" s="81"/>
      <c r="M107" s="81"/>
      <c r="N107" s="81"/>
      <c r="O107" s="81"/>
      <c r="P107" s="81"/>
      <c r="Q107" s="81"/>
    </row>
    <row r="108" spans="2:17" ht="15.75" hidden="1" outlineLevel="1" thickTop="1" x14ac:dyDescent="0.25">
      <c r="D108" s="85"/>
      <c r="J108" s="76">
        <f>AVERAGE(J105:J107)</f>
        <v>28464.333333333332</v>
      </c>
    </row>
    <row r="109" spans="2:17" hidden="1" outlineLevel="1" x14ac:dyDescent="0.25">
      <c r="I109" s="75" t="s">
        <v>50</v>
      </c>
      <c r="J109" s="80">
        <f>(J50+I55)/J108</f>
        <v>1.5359572798707155</v>
      </c>
    </row>
    <row r="110" spans="2:17" hidden="1" outlineLevel="1" x14ac:dyDescent="0.25"/>
    <row r="111" spans="2:17" hidden="1" outlineLevel="1" x14ac:dyDescent="0.25"/>
    <row r="112" spans="2:17" hidden="1" outlineLevel="1" x14ac:dyDescent="0.25"/>
    <row r="113" spans="3:51" hidden="1" outlineLevel="1" x14ac:dyDescent="0.25"/>
    <row r="114" spans="3:51" hidden="1" outlineLevel="1" x14ac:dyDescent="0.25"/>
    <row r="115" spans="3:51" hidden="1" outlineLevel="1" x14ac:dyDescent="0.25"/>
    <row r="116" spans="3:51" hidden="1" outlineLevel="1" x14ac:dyDescent="0.25"/>
    <row r="117" spans="3:51" hidden="1" outlineLevel="1" x14ac:dyDescent="0.25"/>
    <row r="118" spans="3:51" hidden="1" outlineLevel="1" x14ac:dyDescent="0.25">
      <c r="I118" s="86" t="s">
        <v>54</v>
      </c>
      <c r="J118" s="86"/>
    </row>
    <row r="119" spans="3:51" ht="15.75" hidden="1" outlineLevel="1" thickBot="1" x14ac:dyDescent="0.3">
      <c r="C119" s="86" t="s">
        <v>55</v>
      </c>
      <c r="D119" s="86"/>
      <c r="E119" s="86"/>
      <c r="F119" s="86"/>
      <c r="G119" s="86"/>
      <c r="I119" s="86" t="s">
        <v>56</v>
      </c>
      <c r="J119" s="86"/>
      <c r="L119" s="86" t="s">
        <v>57</v>
      </c>
      <c r="M119" s="86"/>
      <c r="O119" s="86" t="s">
        <v>58</v>
      </c>
      <c r="P119" s="86"/>
      <c r="Q119" s="86"/>
      <c r="R119" s="86"/>
      <c r="S119" s="86"/>
      <c r="U119" s="86" t="s">
        <v>59</v>
      </c>
      <c r="V119" s="86"/>
      <c r="W119" s="86"/>
      <c r="Y119" s="86" t="s">
        <v>60</v>
      </c>
      <c r="Z119" s="86"/>
      <c r="AB119" s="86"/>
      <c r="AC119" s="86"/>
      <c r="AH119" s="86" t="s">
        <v>61</v>
      </c>
      <c r="AI119" s="86"/>
      <c r="AJ119" s="86"/>
    </row>
    <row r="120" spans="3:51" hidden="1" outlineLevel="1" x14ac:dyDescent="0.25">
      <c r="C120" s="87"/>
      <c r="D120" s="88"/>
      <c r="E120" s="89" t="s">
        <v>62</v>
      </c>
      <c r="F120" s="89" t="s">
        <v>63</v>
      </c>
      <c r="G120" s="90" t="s">
        <v>63</v>
      </c>
      <c r="H120" s="91"/>
      <c r="I120" s="92" t="s">
        <v>64</v>
      </c>
      <c r="J120" s="90" t="s">
        <v>64</v>
      </c>
      <c r="L120" s="92"/>
      <c r="M120" s="93"/>
      <c r="O120" s="87"/>
      <c r="P120" s="88"/>
      <c r="Q120" s="88"/>
      <c r="R120" s="88"/>
      <c r="S120" s="93"/>
      <c r="U120" s="87"/>
      <c r="V120" s="88"/>
      <c r="W120" s="93"/>
      <c r="Y120" s="87"/>
      <c r="Z120" s="93"/>
      <c r="AB120" s="92"/>
      <c r="AC120" s="90"/>
      <c r="AE120" s="92"/>
      <c r="AF120" s="90"/>
      <c r="AH120" s="92" t="s">
        <v>66</v>
      </c>
      <c r="AI120" s="89" t="s">
        <v>67</v>
      </c>
      <c r="AJ120" s="90" t="s">
        <v>68</v>
      </c>
      <c r="AN120" s="91" t="s">
        <v>29</v>
      </c>
      <c r="AO120" s="91" t="s">
        <v>30</v>
      </c>
      <c r="AP120" s="91" t="s">
        <v>31</v>
      </c>
      <c r="AQ120" s="91" t="s">
        <v>32</v>
      </c>
      <c r="AR120" s="91" t="s">
        <v>33</v>
      </c>
      <c r="AS120" s="91" t="s">
        <v>34</v>
      </c>
      <c r="AT120" s="91" t="s">
        <v>35</v>
      </c>
      <c r="AU120" s="91" t="s">
        <v>36</v>
      </c>
      <c r="AV120" s="91" t="s">
        <v>37</v>
      </c>
      <c r="AW120" s="91" t="s">
        <v>38</v>
      </c>
      <c r="AX120" s="91" t="s">
        <v>39</v>
      </c>
      <c r="AY120" s="91" t="s">
        <v>40</v>
      </c>
    </row>
    <row r="121" spans="3:51" hidden="1" outlineLevel="1" x14ac:dyDescent="0.25">
      <c r="C121" s="94" t="s">
        <v>69</v>
      </c>
      <c r="D121" s="91" t="s">
        <v>70</v>
      </c>
      <c r="E121" s="91" t="s">
        <v>71</v>
      </c>
      <c r="F121" s="91" t="s">
        <v>72</v>
      </c>
      <c r="G121" s="95" t="s">
        <v>72</v>
      </c>
      <c r="H121" s="91"/>
      <c r="I121" s="94" t="s">
        <v>70</v>
      </c>
      <c r="J121" s="95" t="s">
        <v>73</v>
      </c>
      <c r="L121" s="94"/>
      <c r="M121" s="96"/>
      <c r="O121" s="97"/>
      <c r="P121" s="91" t="s">
        <v>74</v>
      </c>
      <c r="Q121" s="91" t="s">
        <v>75</v>
      </c>
      <c r="R121" s="91" t="s">
        <v>76</v>
      </c>
      <c r="S121" s="95" t="s">
        <v>76</v>
      </c>
      <c r="U121" s="97"/>
      <c r="W121" s="95" t="s">
        <v>77</v>
      </c>
      <c r="Y121" s="94" t="s">
        <v>13</v>
      </c>
      <c r="Z121" s="95" t="s">
        <v>13</v>
      </c>
      <c r="AB121" s="94"/>
      <c r="AC121" s="95"/>
      <c r="AE121" s="94"/>
      <c r="AF121" s="98"/>
      <c r="AH121" s="99">
        <v>7250</v>
      </c>
      <c r="AI121" s="74">
        <f>J124/366</f>
        <v>176</v>
      </c>
      <c r="AJ121" s="100">
        <f>AH121/AI121</f>
        <v>41.19318181818182</v>
      </c>
      <c r="AM121" s="75" t="s">
        <v>78</v>
      </c>
      <c r="AN121" s="101">
        <f>O18/12/1000</f>
        <v>6.71</v>
      </c>
      <c r="AO121" s="101">
        <f>AN121</f>
        <v>6.71</v>
      </c>
      <c r="AP121" s="101">
        <f t="shared" ref="AP121:AY121" si="1">AO121</f>
        <v>6.71</v>
      </c>
      <c r="AQ121" s="101">
        <f t="shared" si="1"/>
        <v>6.71</v>
      </c>
      <c r="AR121" s="101">
        <f t="shared" si="1"/>
        <v>6.71</v>
      </c>
      <c r="AS121" s="101">
        <f t="shared" si="1"/>
        <v>6.71</v>
      </c>
      <c r="AT121" s="101">
        <f t="shared" si="1"/>
        <v>6.71</v>
      </c>
      <c r="AU121" s="101">
        <f t="shared" si="1"/>
        <v>6.71</v>
      </c>
      <c r="AV121" s="101">
        <f t="shared" si="1"/>
        <v>6.71</v>
      </c>
      <c r="AW121" s="101">
        <f t="shared" si="1"/>
        <v>6.71</v>
      </c>
      <c r="AX121" s="101">
        <f t="shared" si="1"/>
        <v>6.71</v>
      </c>
      <c r="AY121" s="101">
        <f t="shared" si="1"/>
        <v>6.71</v>
      </c>
    </row>
    <row r="122" spans="3:51" ht="15.75" hidden="1" outlineLevel="1" thickBot="1" x14ac:dyDescent="0.3">
      <c r="C122" s="102" t="s">
        <v>79</v>
      </c>
      <c r="D122" s="103" t="s">
        <v>80</v>
      </c>
      <c r="E122" s="103" t="s">
        <v>81</v>
      </c>
      <c r="F122" s="103" t="s">
        <v>81</v>
      </c>
      <c r="G122" s="104" t="s">
        <v>82</v>
      </c>
      <c r="H122" s="91"/>
      <c r="I122" s="102" t="s">
        <v>80</v>
      </c>
      <c r="J122" s="104" t="s">
        <v>82</v>
      </c>
      <c r="L122" s="102" t="s">
        <v>83</v>
      </c>
      <c r="M122" s="104" t="s">
        <v>79</v>
      </c>
      <c r="N122" s="91"/>
      <c r="O122" s="102" t="s">
        <v>84</v>
      </c>
      <c r="P122" s="103" t="s">
        <v>85</v>
      </c>
      <c r="Q122" s="103" t="s">
        <v>79</v>
      </c>
      <c r="R122" s="103" t="s">
        <v>86</v>
      </c>
      <c r="S122" s="104" t="s">
        <v>87</v>
      </c>
      <c r="U122" s="105" t="s">
        <v>88</v>
      </c>
      <c r="V122" s="91" t="s">
        <v>87</v>
      </c>
      <c r="W122" s="95" t="s">
        <v>89</v>
      </c>
      <c r="X122" s="91"/>
      <c r="Y122" s="102" t="s">
        <v>90</v>
      </c>
      <c r="Z122" s="104" t="s">
        <v>91</v>
      </c>
      <c r="AB122" s="106"/>
      <c r="AC122" s="107"/>
      <c r="AE122" s="94"/>
      <c r="AF122" s="98"/>
      <c r="AH122" s="97"/>
      <c r="AJ122" s="96"/>
      <c r="AM122" s="75" t="s">
        <v>92</v>
      </c>
      <c r="AN122" s="108">
        <v>0</v>
      </c>
      <c r="AO122" s="108">
        <v>0</v>
      </c>
      <c r="AP122" s="108">
        <v>0.01</v>
      </c>
      <c r="AQ122" s="108">
        <v>7.0000000000000007E-2</v>
      </c>
      <c r="AR122" s="108">
        <v>0.14000000000000001</v>
      </c>
      <c r="AS122" s="108">
        <v>0.2</v>
      </c>
      <c r="AT122" s="108">
        <v>0.2</v>
      </c>
      <c r="AU122" s="108">
        <v>0.18</v>
      </c>
      <c r="AV122" s="108">
        <v>0.12</v>
      </c>
      <c r="AW122" s="108">
        <v>7.0000000000000007E-2</v>
      </c>
      <c r="AX122" s="108">
        <v>0.01</v>
      </c>
      <c r="AY122" s="108">
        <v>0</v>
      </c>
    </row>
    <row r="123" spans="3:51" ht="15.75" hidden="1" outlineLevel="1" thickBot="1" x14ac:dyDescent="0.3">
      <c r="C123" s="94">
        <v>0</v>
      </c>
      <c r="D123" s="91">
        <v>3</v>
      </c>
      <c r="E123" s="91">
        <v>55</v>
      </c>
      <c r="F123" s="74">
        <f>E123*D123</f>
        <v>165</v>
      </c>
      <c r="G123" s="109">
        <f>F123*366</f>
        <v>60390</v>
      </c>
      <c r="I123" s="94">
        <v>2.5</v>
      </c>
      <c r="J123" s="109">
        <f>I123*E123*366</f>
        <v>50325</v>
      </c>
      <c r="L123" s="94">
        <v>2</v>
      </c>
      <c r="M123" s="95">
        <v>854</v>
      </c>
      <c r="N123" s="91"/>
      <c r="O123" s="105" t="s">
        <v>93</v>
      </c>
      <c r="P123" s="110">
        <f>ROUNDUP(2.9*7.48/365*1000,0)</f>
        <v>60</v>
      </c>
      <c r="Q123" s="74">
        <f>O34*O28</f>
        <v>1849.9</v>
      </c>
      <c r="R123" s="111">
        <f>Q123/1000*P123*366</f>
        <v>40623.803999999996</v>
      </c>
      <c r="S123" s="112">
        <f>R123/P$128</f>
        <v>0.12465386432876713</v>
      </c>
      <c r="U123" s="105" t="s">
        <v>94</v>
      </c>
      <c r="V123" s="113">
        <f>ROUND(INDEX(J123:J125,MATCH(O16,C123:C125,1))/P128,2)</f>
        <v>0.2</v>
      </c>
      <c r="W123" s="96"/>
      <c r="Y123" s="102">
        <v>0.33</v>
      </c>
      <c r="Z123" s="198">
        <f>(V126/Y123)</f>
        <v>1</v>
      </c>
      <c r="AB123" s="114"/>
      <c r="AC123" s="115"/>
      <c r="AE123" s="94"/>
      <c r="AF123" s="98"/>
      <c r="AH123" s="97"/>
      <c r="AJ123" s="96"/>
      <c r="AM123" s="75" t="s">
        <v>95</v>
      </c>
      <c r="AN123" s="101">
        <f t="shared" ref="AN123:AY123" si="2">AN122*$N36/1000</f>
        <v>0</v>
      </c>
      <c r="AO123" s="101">
        <f t="shared" si="2"/>
        <v>0</v>
      </c>
      <c r="AP123" s="101">
        <f t="shared" si="2"/>
        <v>0.42707075999999994</v>
      </c>
      <c r="AQ123" s="101">
        <f t="shared" si="2"/>
        <v>2.9894953200000001</v>
      </c>
      <c r="AR123" s="101">
        <f t="shared" si="2"/>
        <v>5.9789906400000001</v>
      </c>
      <c r="AS123" s="101">
        <f t="shared" si="2"/>
        <v>8.5414151999999994</v>
      </c>
      <c r="AT123" s="101">
        <f t="shared" si="2"/>
        <v>8.5414151999999994</v>
      </c>
      <c r="AU123" s="101">
        <f t="shared" si="2"/>
        <v>7.6872736799999988</v>
      </c>
      <c r="AV123" s="101">
        <f t="shared" si="2"/>
        <v>5.1248491199999986</v>
      </c>
      <c r="AW123" s="101">
        <f t="shared" si="2"/>
        <v>2.9894953200000001</v>
      </c>
      <c r="AX123" s="101">
        <f t="shared" si="2"/>
        <v>0.42707075999999994</v>
      </c>
      <c r="AY123" s="101">
        <f t="shared" si="2"/>
        <v>0</v>
      </c>
    </row>
    <row r="124" spans="3:51" ht="15.75" hidden="1" outlineLevel="1" thickBot="1" x14ac:dyDescent="0.3">
      <c r="C124" s="94">
        <v>2000</v>
      </c>
      <c r="D124" s="91">
        <v>4</v>
      </c>
      <c r="E124" s="91">
        <f>E123</f>
        <v>55</v>
      </c>
      <c r="F124" s="74">
        <f t="shared" ref="F124:F125" si="3">E124*D124</f>
        <v>220</v>
      </c>
      <c r="G124" s="109">
        <f t="shared" ref="G124:G125" si="4">F124*366</f>
        <v>80520</v>
      </c>
      <c r="I124" s="94">
        <v>3.2</v>
      </c>
      <c r="J124" s="109">
        <f>I124*E124*366</f>
        <v>64416</v>
      </c>
      <c r="L124" s="94">
        <v>3</v>
      </c>
      <c r="M124" s="95">
        <v>1331</v>
      </c>
      <c r="N124" s="91"/>
      <c r="O124" s="116" t="s">
        <v>96</v>
      </c>
      <c r="P124" s="117">
        <f>ROUND(0.33*P123,0)</f>
        <v>20</v>
      </c>
      <c r="Q124" s="118">
        <f>O32*O28</f>
        <v>284.60000000000002</v>
      </c>
      <c r="R124" s="119">
        <f>Q124/1000*P124*366</f>
        <v>2083.2719999999999</v>
      </c>
      <c r="S124" s="120">
        <f>R124/P$128</f>
        <v>6.3925058630136993E-3</v>
      </c>
      <c r="U124" s="105" t="s">
        <v>97</v>
      </c>
      <c r="V124" s="113">
        <f>S125</f>
        <v>0.13</v>
      </c>
      <c r="W124" s="96"/>
      <c r="AE124" s="102"/>
      <c r="AF124" s="121"/>
      <c r="AH124" s="122"/>
      <c r="AI124" s="118"/>
      <c r="AJ124" s="123"/>
      <c r="AM124" s="75" t="s">
        <v>98</v>
      </c>
      <c r="AN124" s="101">
        <f>AN123+AN121</f>
        <v>6.71</v>
      </c>
      <c r="AO124" s="101">
        <f t="shared" ref="AO124:AY124" si="5">AO123+AO121</f>
        <v>6.71</v>
      </c>
      <c r="AP124" s="101">
        <f t="shared" si="5"/>
        <v>7.1370707600000003</v>
      </c>
      <c r="AQ124" s="101">
        <f t="shared" si="5"/>
        <v>9.6994953200000005</v>
      </c>
      <c r="AR124" s="101">
        <f t="shared" si="5"/>
        <v>12.68899064</v>
      </c>
      <c r="AS124" s="101">
        <f t="shared" si="5"/>
        <v>15.2514152</v>
      </c>
      <c r="AT124" s="101">
        <f t="shared" si="5"/>
        <v>15.2514152</v>
      </c>
      <c r="AU124" s="101">
        <f t="shared" si="5"/>
        <v>14.397273679999998</v>
      </c>
      <c r="AV124" s="101">
        <f t="shared" si="5"/>
        <v>11.834849119999998</v>
      </c>
      <c r="AW124" s="101">
        <f t="shared" si="5"/>
        <v>9.6994953200000005</v>
      </c>
      <c r="AX124" s="101">
        <f t="shared" si="5"/>
        <v>7.1370707600000003</v>
      </c>
      <c r="AY124" s="101">
        <f t="shared" si="5"/>
        <v>6.71</v>
      </c>
    </row>
    <row r="125" spans="3:51" ht="15.75" hidden="1" outlineLevel="1" thickBot="1" x14ac:dyDescent="0.3">
      <c r="C125" s="102">
        <v>3501</v>
      </c>
      <c r="D125" s="103">
        <v>5</v>
      </c>
      <c r="E125" s="103">
        <f>E124</f>
        <v>55</v>
      </c>
      <c r="F125" s="118">
        <f t="shared" si="3"/>
        <v>275</v>
      </c>
      <c r="G125" s="124">
        <f t="shared" si="4"/>
        <v>100650</v>
      </c>
      <c r="I125" s="102">
        <v>3.75</v>
      </c>
      <c r="J125" s="124">
        <f>I125*E125*366</f>
        <v>75487.5</v>
      </c>
      <c r="L125" s="122"/>
      <c r="M125" s="123"/>
      <c r="R125" s="111">
        <f>SUM(R123:R124)</f>
        <v>42707.075999999994</v>
      </c>
      <c r="S125" s="125">
        <f>ROUND(SUM(S123:S124),2)</f>
        <v>0.13</v>
      </c>
      <c r="U125" s="116" t="s">
        <v>99</v>
      </c>
      <c r="V125" s="126">
        <f>N42/P128</f>
        <v>0</v>
      </c>
      <c r="W125" s="123"/>
      <c r="AM125" s="75" t="s">
        <v>100</v>
      </c>
      <c r="AN125" s="101" t="e">
        <f>MIN(AN124,#REF!)</f>
        <v>#REF!</v>
      </c>
      <c r="AO125" s="101" t="e">
        <f>MIN(AO124,#REF!)</f>
        <v>#REF!</v>
      </c>
      <c r="AP125" s="101" t="e">
        <f>MIN(AP124,#REF!)</f>
        <v>#REF!</v>
      </c>
      <c r="AQ125" s="101" t="e">
        <f>MIN(AQ124,#REF!)</f>
        <v>#REF!</v>
      </c>
      <c r="AR125" s="101" t="e">
        <f>MIN(AR124,#REF!)</f>
        <v>#REF!</v>
      </c>
      <c r="AS125" s="101" t="e">
        <f>MIN(AS124,#REF!)</f>
        <v>#REF!</v>
      </c>
      <c r="AT125" s="101" t="e">
        <f>MIN(AT124,#REF!)</f>
        <v>#REF!</v>
      </c>
      <c r="AU125" s="101" t="e">
        <f>MIN(AU124,#REF!)</f>
        <v>#REF!</v>
      </c>
      <c r="AV125" s="101" t="e">
        <f>MIN(AV124,#REF!)</f>
        <v>#REF!</v>
      </c>
      <c r="AW125" s="101" t="e">
        <f>MIN(AW124,#REF!)</f>
        <v>#REF!</v>
      </c>
      <c r="AX125" s="101" t="e">
        <f>MIN(AX124,#REF!)</f>
        <v>#REF!</v>
      </c>
      <c r="AY125" s="101" t="e">
        <f>MIN(AY124,#REF!)</f>
        <v>#REF!</v>
      </c>
    </row>
    <row r="126" spans="3:51" hidden="1" outlineLevel="1" x14ac:dyDescent="0.25">
      <c r="U126" s="75" t="s">
        <v>101</v>
      </c>
      <c r="V126" s="127">
        <f>V124+V123+V125</f>
        <v>0.33</v>
      </c>
      <c r="W126" s="127">
        <f>ROUND((INDEX(J123:J125,MATCH(O16,C123:C125,1))+R125)*2.25/366/1440,2)</f>
        <v>0.46</v>
      </c>
      <c r="AM126" s="75" t="s">
        <v>102</v>
      </c>
      <c r="AN126" s="101" t="e">
        <f>MIN(AN124*1.25-AN124,#REF!-AN125)</f>
        <v>#REF!</v>
      </c>
      <c r="AO126" s="101" t="e">
        <f>MIN(AO124*1.25-AO124,#REF!-AO125)</f>
        <v>#REF!</v>
      </c>
      <c r="AP126" s="101" t="e">
        <f>MIN(AP124*1.25-AP124,#REF!-AP125)</f>
        <v>#REF!</v>
      </c>
      <c r="AQ126" s="101" t="e">
        <f>MIN(AQ124*1.25-AQ124,#REF!-AQ125)</f>
        <v>#REF!</v>
      </c>
      <c r="AR126" s="101" t="e">
        <f>MIN(AR124*1.25-AR124,#REF!-AR125)</f>
        <v>#REF!</v>
      </c>
      <c r="AS126" s="101" t="e">
        <f>MIN(AS124*1.25-AS124,#REF!-AS125)</f>
        <v>#REF!</v>
      </c>
      <c r="AT126" s="101" t="e">
        <f>MIN(AT124*1.25-AT124,#REF!-AT125)</f>
        <v>#REF!</v>
      </c>
      <c r="AU126" s="101" t="e">
        <f>MIN(AU124*1.25-AU124,#REF!-AU125)</f>
        <v>#REF!</v>
      </c>
      <c r="AV126" s="101" t="e">
        <f>MIN(AV124*1.25-AV124,#REF!-AV125)</f>
        <v>#REF!</v>
      </c>
      <c r="AW126" s="101" t="e">
        <f>MIN(AW124*1.25-AW124,#REF!-AW125)</f>
        <v>#REF!</v>
      </c>
      <c r="AX126" s="101" t="e">
        <f>MIN(AX124*1.25-AX124,#REF!-AX125)</f>
        <v>#REF!</v>
      </c>
      <c r="AY126" s="101" t="e">
        <f>MIN(AY124*1.25-AY124,#REF!-AY125)</f>
        <v>#REF!</v>
      </c>
    </row>
    <row r="127" spans="3:51" hidden="1" outlineLevel="1" x14ac:dyDescent="0.25">
      <c r="AM127" s="75" t="s">
        <v>103</v>
      </c>
      <c r="AN127" s="101" t="e">
        <f>MIN(AN124*1.5-AN124*1.25,#REF!-AN125-AN126)</f>
        <v>#REF!</v>
      </c>
      <c r="AO127" s="101" t="e">
        <f>MIN(AO124*1.5-AO124*1.25,#REF!-AO125-AO126)</f>
        <v>#REF!</v>
      </c>
      <c r="AP127" s="101" t="e">
        <f>MIN(AP124*1.5-AP124*1.25,#REF!-AP125-AP126)</f>
        <v>#REF!</v>
      </c>
      <c r="AQ127" s="101" t="e">
        <f>MIN(AQ124*1.5-AQ124*1.25,#REF!-AQ125-AQ126)</f>
        <v>#REF!</v>
      </c>
      <c r="AR127" s="101" t="e">
        <f>MIN(AR124*1.5-AR124*1.25,#REF!-AR125-AR126)</f>
        <v>#REF!</v>
      </c>
      <c r="AS127" s="101" t="e">
        <f>MIN(AS124*1.5-AS124*1.25,#REF!-AS125-AS126)</f>
        <v>#REF!</v>
      </c>
      <c r="AT127" s="101" t="e">
        <f>MIN(AT124*1.5-AT124*1.25,#REF!-AT125-AT126)</f>
        <v>#REF!</v>
      </c>
      <c r="AU127" s="101" t="e">
        <f>MIN(AU124*1.5-AU124*1.25,#REF!-AU125-AU126)</f>
        <v>#REF!</v>
      </c>
      <c r="AV127" s="101" t="e">
        <f>MIN(AV124*1.5-AV124*1.25,#REF!-AV125-AV126)</f>
        <v>#REF!</v>
      </c>
      <c r="AW127" s="101" t="e">
        <f>MIN(AW124*1.5-AW124*1.25,#REF!-AW125-AW126)</f>
        <v>#REF!</v>
      </c>
      <c r="AX127" s="101" t="e">
        <f>MIN(AX124*1.5-AX124*1.25,#REF!-AX125-AX126)</f>
        <v>#REF!</v>
      </c>
      <c r="AY127" s="101" t="e">
        <f>MIN(AY124*1.5-AY124*1.25,#REF!-AY125-AY126)</f>
        <v>#REF!</v>
      </c>
    </row>
    <row r="128" spans="3:51" hidden="1" outlineLevel="1" x14ac:dyDescent="0.25">
      <c r="O128" s="75" t="s">
        <v>104</v>
      </c>
      <c r="P128" s="128">
        <f>1/1120*1000000*365</f>
        <v>325892.8571428571</v>
      </c>
      <c r="Q128" s="74" t="s">
        <v>105</v>
      </c>
      <c r="AM128" s="75" t="s">
        <v>106</v>
      </c>
      <c r="AN128" s="101" t="e">
        <f>#REF!-AN125-AN126-AN127</f>
        <v>#REF!</v>
      </c>
      <c r="AO128" s="101" t="e">
        <f>#REF!-AO125-AO126-AO127</f>
        <v>#REF!</v>
      </c>
      <c r="AP128" s="101" t="e">
        <f>#REF!-AP125-AP126-AP127</f>
        <v>#REF!</v>
      </c>
      <c r="AQ128" s="101" t="e">
        <f>#REF!-AQ125-AQ126-AQ127</f>
        <v>#REF!</v>
      </c>
      <c r="AR128" s="101" t="e">
        <f>#REF!-AR125-AR126-AR127</f>
        <v>#REF!</v>
      </c>
      <c r="AS128" s="101" t="e">
        <f>#REF!-AS125-AS126-AS127</f>
        <v>#REF!</v>
      </c>
      <c r="AT128" s="101" t="e">
        <f>#REF!-AT125-AT126-AT127</f>
        <v>#REF!</v>
      </c>
      <c r="AU128" s="101" t="e">
        <f>#REF!-AU125-AU126-AU127</f>
        <v>#REF!</v>
      </c>
      <c r="AV128" s="101" t="e">
        <f>#REF!-AV125-AV126-AV127</f>
        <v>#REF!</v>
      </c>
      <c r="AW128" s="101" t="e">
        <f>#REF!-AW125-AW126-AW127</f>
        <v>#REF!</v>
      </c>
      <c r="AX128" s="101" t="e">
        <f>#REF!-AX125-AX126-AX127</f>
        <v>#REF!</v>
      </c>
      <c r="AY128" s="101" t="e">
        <f>#REF!-AY125-AY126-AY127</f>
        <v>#REF!</v>
      </c>
    </row>
    <row r="129" spans="21:51" hidden="1" outlineLevel="1" x14ac:dyDescent="0.25">
      <c r="U129" s="75" t="s">
        <v>94</v>
      </c>
      <c r="V129" s="74">
        <f>INDEX(J123:J125,MATCH(O16,C123:C125,1))</f>
        <v>64416</v>
      </c>
      <c r="W129" s="74" t="s">
        <v>86</v>
      </c>
      <c r="AM129" s="75" t="s">
        <v>107</v>
      </c>
      <c r="AN129" s="101" t="e">
        <f>SUM(AN125:AN128)</f>
        <v>#REF!</v>
      </c>
      <c r="AO129" s="101" t="e">
        <f t="shared" ref="AO129:AY129" si="6">SUM(AO125:AO128)</f>
        <v>#REF!</v>
      </c>
      <c r="AP129" s="101" t="e">
        <f t="shared" si="6"/>
        <v>#REF!</v>
      </c>
      <c r="AQ129" s="101" t="e">
        <f t="shared" si="6"/>
        <v>#REF!</v>
      </c>
      <c r="AR129" s="101" t="e">
        <f t="shared" si="6"/>
        <v>#REF!</v>
      </c>
      <c r="AS129" s="101" t="e">
        <f t="shared" si="6"/>
        <v>#REF!</v>
      </c>
      <c r="AT129" s="101" t="e">
        <f t="shared" si="6"/>
        <v>#REF!</v>
      </c>
      <c r="AU129" s="101" t="e">
        <f t="shared" si="6"/>
        <v>#REF!</v>
      </c>
      <c r="AV129" s="101" t="e">
        <f t="shared" si="6"/>
        <v>#REF!</v>
      </c>
      <c r="AW129" s="101" t="e">
        <f t="shared" si="6"/>
        <v>#REF!</v>
      </c>
      <c r="AX129" s="101" t="e">
        <f t="shared" si="6"/>
        <v>#REF!</v>
      </c>
      <c r="AY129" s="101" t="e">
        <f t="shared" si="6"/>
        <v>#REF!</v>
      </c>
    </row>
    <row r="130" spans="21:51" hidden="1" outlineLevel="1" x14ac:dyDescent="0.25"/>
    <row r="131" spans="21:51" hidden="1" outlineLevel="1" x14ac:dyDescent="0.25">
      <c r="AM131" s="75" t="s">
        <v>108</v>
      </c>
      <c r="AN131" s="101" t="e">
        <f>AVERAGE(AY129,AN129,AO129)</f>
        <v>#REF!</v>
      </c>
    </row>
    <row r="132" spans="21:51" hidden="1" outlineLevel="1" x14ac:dyDescent="0.25"/>
    <row r="133" spans="21:51" hidden="1" outlineLevel="1" x14ac:dyDescent="0.25"/>
    <row r="134" spans="21:51" hidden="1" outlineLevel="1" x14ac:dyDescent="0.25"/>
    <row r="135" spans="21:51" hidden="1" outlineLevel="1" x14ac:dyDescent="0.25"/>
    <row r="136" spans="21:51" hidden="1" outlineLevel="1" x14ac:dyDescent="0.25"/>
    <row r="137" spans="21:51" hidden="1" outlineLevel="1" x14ac:dyDescent="0.25"/>
    <row r="138" spans="21:51" hidden="1" outlineLevel="1" x14ac:dyDescent="0.25"/>
    <row r="139" spans="21:51" hidden="1" outlineLevel="1" x14ac:dyDescent="0.25"/>
    <row r="140" spans="21:51" hidden="1" outlineLevel="1" x14ac:dyDescent="0.25"/>
    <row r="141" spans="21:51" hidden="1" outlineLevel="1" x14ac:dyDescent="0.25"/>
    <row r="142" spans="21:51" hidden="1" outlineLevel="1" x14ac:dyDescent="0.25"/>
    <row r="143" spans="21:51" hidden="1" outlineLevel="1" x14ac:dyDescent="0.25"/>
    <row r="144" spans="21:51" hidden="1" outlineLevel="1" x14ac:dyDescent="0.25"/>
    <row r="145" hidden="1" outlineLevel="1" x14ac:dyDescent="0.25"/>
    <row r="146" hidden="1" collapsed="1" x14ac:dyDescent="0.25"/>
  </sheetData>
  <sheetProtection algorithmName="SHA-512" hashValue="WZptmU6FN+YOVV2b9AKEbWh3Kot4MwpI+xIIxLttuUKrvUDa9Nklc3MkcvTFz8jumWhWvWOa008uLyTY+wrTRQ==" saltValue="nCTTIQ2YRYviwbEAKfDGKA==" spinCount="100000" sheet="1" objects="1" scenarios="1"/>
  <mergeCells count="15">
    <mergeCell ref="G68:H68"/>
    <mergeCell ref="J66:K66"/>
    <mergeCell ref="J67:K67"/>
    <mergeCell ref="J68:K68"/>
    <mergeCell ref="I65:K65"/>
    <mergeCell ref="F65:H65"/>
    <mergeCell ref="G66:H66"/>
    <mergeCell ref="G67:H67"/>
    <mergeCell ref="E4:F4"/>
    <mergeCell ref="F64:K64"/>
    <mergeCell ref="H48:J48"/>
    <mergeCell ref="H8:J8"/>
    <mergeCell ref="G10:L10"/>
    <mergeCell ref="H49:I49"/>
    <mergeCell ref="H50:I50"/>
  </mergeCells>
  <pageMargins left="0.7" right="0.7" top="0.75" bottom="0.75" header="0.3" footer="0.3"/>
  <pageSetup scale="47" orientation="portrait" r:id="rId1"/>
  <ignoredErrors>
    <ignoredError sqref="E4:E5"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
  <sheetViews>
    <sheetView topLeftCell="A10" workbookViewId="0">
      <selection activeCell="L50" sqref="L50"/>
    </sheetView>
  </sheetViews>
  <sheetFormatPr defaultRowHeight="15" x14ac:dyDescent="0.25"/>
  <cols>
    <col min="1" max="1" width="4.7109375" customWidth="1"/>
  </cols>
  <sheetData/>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3"/>
  <sheetViews>
    <sheetView workbookViewId="0">
      <selection activeCell="D26" sqref="D26"/>
    </sheetView>
  </sheetViews>
  <sheetFormatPr defaultRowHeight="15" x14ac:dyDescent="0.25"/>
  <cols>
    <col min="1" max="2" width="2.28515625" customWidth="1"/>
    <col min="3" max="3" width="9.140625" customWidth="1"/>
    <col min="5" max="5" width="15.42578125" customWidth="1"/>
    <col min="6" max="6" width="11.42578125" customWidth="1"/>
    <col min="7" max="8" width="2.28515625" customWidth="1"/>
    <col min="9" max="10" width="17.7109375" customWidth="1"/>
    <col min="11" max="12" width="2.28515625" customWidth="1"/>
    <col min="13" max="14" width="17.7109375" customWidth="1"/>
    <col min="15" max="16" width="2.28515625" customWidth="1"/>
    <col min="17" max="17" width="12.28515625" customWidth="1"/>
    <col min="18" max="18" width="3.7109375" customWidth="1"/>
    <col min="19" max="19" width="19.140625" customWidth="1"/>
    <col min="20" max="20" width="3.7109375" customWidth="1"/>
    <col min="21" max="21" width="10.42578125" bestFit="1" customWidth="1"/>
    <col min="22" max="22" width="5.85546875" customWidth="1"/>
    <col min="23" max="24" width="2.28515625" customWidth="1"/>
  </cols>
  <sheetData>
    <row r="1" spans="1:24" x14ac:dyDescent="0.25">
      <c r="B1" s="41" t="s">
        <v>109</v>
      </c>
      <c r="C1" s="3"/>
      <c r="D1" s="3"/>
      <c r="E1" s="3"/>
      <c r="F1" s="3"/>
      <c r="G1" s="3"/>
      <c r="H1" s="3"/>
      <c r="I1" s="3"/>
      <c r="J1" s="3"/>
      <c r="K1" s="3"/>
      <c r="L1" s="3"/>
      <c r="M1" s="3"/>
      <c r="N1" s="3"/>
      <c r="O1" s="3"/>
      <c r="P1" s="3"/>
      <c r="Q1" s="3"/>
      <c r="R1" s="3"/>
      <c r="S1" s="3"/>
      <c r="T1" s="3"/>
      <c r="U1" s="3"/>
      <c r="V1" s="3"/>
      <c r="W1" s="3"/>
    </row>
    <row r="2" spans="1:24" x14ac:dyDescent="0.25">
      <c r="B2" s="26" t="s">
        <v>110</v>
      </c>
      <c r="C2" s="3"/>
      <c r="D2" s="3"/>
      <c r="E2" s="3"/>
      <c r="F2" s="3"/>
      <c r="G2" s="3"/>
      <c r="H2" s="3"/>
      <c r="I2" s="3"/>
      <c r="J2" s="3"/>
      <c r="K2" s="3"/>
      <c r="L2" s="3"/>
      <c r="M2" s="3"/>
      <c r="N2" s="3"/>
      <c r="O2" s="3"/>
      <c r="P2" s="3"/>
      <c r="Q2" s="3"/>
      <c r="R2" s="3"/>
      <c r="S2" s="3"/>
      <c r="T2" s="3"/>
      <c r="U2" s="3"/>
      <c r="V2" s="3"/>
      <c r="W2" s="3"/>
    </row>
    <row r="3" spans="1:24" ht="15.75" thickBot="1" x14ac:dyDescent="0.3"/>
    <row r="4" spans="1:24" x14ac:dyDescent="0.25">
      <c r="A4" s="26"/>
      <c r="B4" s="4"/>
      <c r="C4" s="27" t="s">
        <v>111</v>
      </c>
      <c r="D4" s="28"/>
      <c r="E4" s="28"/>
      <c r="F4" s="28"/>
      <c r="G4" s="29" t="s">
        <v>22</v>
      </c>
      <c r="H4" s="4"/>
      <c r="I4" s="27" t="s">
        <v>112</v>
      </c>
      <c r="J4" s="28"/>
      <c r="K4" s="5"/>
      <c r="L4" s="4"/>
      <c r="M4" s="27" t="s">
        <v>113</v>
      </c>
      <c r="N4" s="28"/>
      <c r="O4" s="5"/>
      <c r="P4" s="4"/>
      <c r="Q4" s="27" t="s">
        <v>114</v>
      </c>
      <c r="R4" s="28"/>
      <c r="S4" s="28"/>
      <c r="T4" s="28"/>
      <c r="U4" s="28"/>
      <c r="V4" s="28"/>
      <c r="W4" s="11"/>
      <c r="X4" s="15"/>
    </row>
    <row r="5" spans="1:24" x14ac:dyDescent="0.25">
      <c r="B5" s="15"/>
      <c r="H5" s="15"/>
      <c r="L5" s="15"/>
      <c r="M5" s="30" t="s">
        <v>115</v>
      </c>
      <c r="N5" s="3"/>
      <c r="P5" s="15"/>
      <c r="W5" s="12"/>
      <c r="X5" s="15"/>
    </row>
    <row r="6" spans="1:24" x14ac:dyDescent="0.25">
      <c r="B6" s="15"/>
      <c r="H6" s="15"/>
      <c r="L6" s="15"/>
      <c r="P6" s="15"/>
      <c r="W6" s="12"/>
      <c r="X6" s="15"/>
    </row>
    <row r="7" spans="1:24" x14ac:dyDescent="0.25">
      <c r="B7" s="15"/>
      <c r="C7" t="s">
        <v>116</v>
      </c>
      <c r="H7" s="15"/>
      <c r="I7" t="s">
        <v>117</v>
      </c>
      <c r="L7" s="15"/>
      <c r="M7" t="s">
        <v>118</v>
      </c>
      <c r="P7" s="15"/>
      <c r="Q7" t="s">
        <v>119</v>
      </c>
      <c r="W7" s="12"/>
      <c r="X7" s="15"/>
    </row>
    <row r="8" spans="1:24" x14ac:dyDescent="0.25">
      <c r="A8" s="23"/>
      <c r="B8" s="15"/>
      <c r="C8" s="23" t="s">
        <v>120</v>
      </c>
      <c r="F8" s="23">
        <v>5500</v>
      </c>
      <c r="G8" s="23"/>
      <c r="H8" s="15"/>
      <c r="I8" s="22" t="s">
        <v>121</v>
      </c>
      <c r="J8" s="64" t="s">
        <v>122</v>
      </c>
      <c r="L8" s="15"/>
      <c r="M8" s="22" t="s">
        <v>123</v>
      </c>
      <c r="N8" s="64" t="s">
        <v>124</v>
      </c>
      <c r="P8" s="15"/>
      <c r="Q8" s="21" t="s">
        <v>125</v>
      </c>
      <c r="W8" s="12"/>
      <c r="X8" s="15"/>
    </row>
    <row r="9" spans="1:24" x14ac:dyDescent="0.25">
      <c r="A9" s="23"/>
      <c r="B9" s="15"/>
      <c r="C9" s="23" t="s">
        <v>126</v>
      </c>
      <c r="F9" s="23">
        <v>2400</v>
      </c>
      <c r="G9" s="23"/>
      <c r="H9" s="15"/>
      <c r="I9" s="2">
        <f>INDEX('Tap Calculator'!G123:G125,MATCH(F9,'Tap Calculator'!C123:C125,1))</f>
        <v>80520</v>
      </c>
      <c r="J9" s="31">
        <f>ROUND(I9/'Tap Calculator'!$P$128,2)</f>
        <v>0.25</v>
      </c>
      <c r="L9" s="15"/>
      <c r="M9" s="2">
        <f>INDEX('Tap Calculator'!J123:J125,MATCH(F9,'Tap Calculator'!C123:C125,1))</f>
        <v>64416</v>
      </c>
      <c r="N9" s="31">
        <f>ROUND(M9/'Tap Calculator'!$P$128,2)</f>
        <v>0.2</v>
      </c>
      <c r="P9" s="15"/>
      <c r="Q9" s="32">
        <f>N13</f>
        <v>0.32</v>
      </c>
      <c r="R9" s="33" t="s">
        <v>127</v>
      </c>
      <c r="S9" s="34">
        <f>'Tap Calculator'!AB123</f>
        <v>0</v>
      </c>
      <c r="T9" s="2" t="s">
        <v>128</v>
      </c>
      <c r="U9" s="35">
        <f>ROUND(Q9*S9,0)</f>
        <v>0</v>
      </c>
      <c r="W9" s="12"/>
      <c r="X9" s="15"/>
    </row>
    <row r="10" spans="1:24" x14ac:dyDescent="0.25">
      <c r="B10" s="15"/>
      <c r="H10" s="15"/>
      <c r="L10" s="15"/>
      <c r="P10" s="15"/>
      <c r="W10" s="12"/>
      <c r="X10" s="15"/>
    </row>
    <row r="11" spans="1:24" x14ac:dyDescent="0.25">
      <c r="B11" s="15"/>
      <c r="C11" t="s">
        <v>129</v>
      </c>
      <c r="H11" s="15"/>
      <c r="I11" t="s">
        <v>130</v>
      </c>
      <c r="L11" s="15"/>
      <c r="M11" t="s">
        <v>131</v>
      </c>
      <c r="P11" s="15"/>
      <c r="Q11" t="s">
        <v>132</v>
      </c>
      <c r="W11" s="12"/>
      <c r="X11" s="15"/>
    </row>
    <row r="12" spans="1:24" x14ac:dyDescent="0.25">
      <c r="A12" s="23"/>
      <c r="B12" s="15"/>
      <c r="C12" s="23" t="s">
        <v>133</v>
      </c>
      <c r="F12" s="23">
        <v>1400</v>
      </c>
      <c r="G12" s="23"/>
      <c r="H12" s="15"/>
      <c r="I12" s="22" t="s">
        <v>134</v>
      </c>
      <c r="J12" s="64" t="s">
        <v>124</v>
      </c>
      <c r="L12" s="15"/>
      <c r="M12" s="22" t="s">
        <v>86</v>
      </c>
      <c r="N12" s="64" t="s">
        <v>124</v>
      </c>
      <c r="P12" s="15"/>
      <c r="Q12" s="21" t="s">
        <v>135</v>
      </c>
      <c r="W12" s="12"/>
      <c r="X12" s="15"/>
    </row>
    <row r="13" spans="1:24" x14ac:dyDescent="0.25">
      <c r="A13" s="25"/>
      <c r="B13" s="15"/>
      <c r="C13" s="25" t="s">
        <v>136</v>
      </c>
      <c r="F13" s="25">
        <v>2</v>
      </c>
      <c r="G13" s="25"/>
      <c r="H13" s="15"/>
      <c r="I13" s="17">
        <f>((F17*F15)/1000*'Tap Calculator'!P124+(F18*F15)/1000*'Tap Calculator'!P123)*366</f>
        <v>38052.288000000008</v>
      </c>
      <c r="J13" s="31">
        <f>ROUND(I13/'Tap Calculator'!P$128,2)</f>
        <v>0.12</v>
      </c>
      <c r="L13" s="15"/>
      <c r="M13" s="17">
        <f>M9+I13</f>
        <v>102468.288</v>
      </c>
      <c r="N13" s="31">
        <f>N9+J13</f>
        <v>0.32</v>
      </c>
      <c r="P13" s="15"/>
      <c r="Q13" s="36">
        <f>M18</f>
        <v>0.44</v>
      </c>
      <c r="R13" s="33" t="s">
        <v>127</v>
      </c>
      <c r="S13" s="37">
        <f>'Tap Calculator'!AC123</f>
        <v>0</v>
      </c>
      <c r="T13" s="2" t="s">
        <v>128</v>
      </c>
      <c r="U13" s="35">
        <f>ROUND(Q13*S13,0)</f>
        <v>0</v>
      </c>
      <c r="W13" s="12"/>
      <c r="X13" s="15"/>
    </row>
    <row r="14" spans="1:24" x14ac:dyDescent="0.25">
      <c r="B14" s="15"/>
      <c r="H14" s="15"/>
      <c r="L14" s="15"/>
      <c r="P14" s="15"/>
      <c r="W14" s="12"/>
      <c r="X14" s="15"/>
    </row>
    <row r="15" spans="1:24" x14ac:dyDescent="0.25">
      <c r="A15" s="23"/>
      <c r="B15" s="15"/>
      <c r="C15" s="23" t="s">
        <v>137</v>
      </c>
      <c r="F15" s="23">
        <f>F8-F12-IF(F13=3,1040,680)</f>
        <v>3420</v>
      </c>
      <c r="G15" s="23"/>
      <c r="H15" s="15"/>
      <c r="I15" t="s">
        <v>138</v>
      </c>
      <c r="L15" s="15"/>
      <c r="M15" t="s">
        <v>139</v>
      </c>
      <c r="P15" s="15"/>
      <c r="Q15" t="s">
        <v>140</v>
      </c>
      <c r="W15" s="12"/>
      <c r="X15" s="15"/>
    </row>
    <row r="16" spans="1:24" x14ac:dyDescent="0.25">
      <c r="A16" s="20"/>
      <c r="B16" s="15"/>
      <c r="C16" s="20" t="s">
        <v>141</v>
      </c>
      <c r="F16" s="20">
        <v>0.18</v>
      </c>
      <c r="G16" s="20"/>
      <c r="H16" s="15"/>
      <c r="I16" s="22" t="s">
        <v>86</v>
      </c>
      <c r="J16" s="64" t="s">
        <v>124</v>
      </c>
      <c r="L16" s="15"/>
      <c r="M16" s="2" t="s">
        <v>77</v>
      </c>
      <c r="N16" s="2" t="s">
        <v>142</v>
      </c>
      <c r="P16" s="15"/>
      <c r="Q16" s="38" t="s">
        <v>65</v>
      </c>
      <c r="R16" s="2">
        <v>1</v>
      </c>
      <c r="S16" s="39">
        <v>800</v>
      </c>
      <c r="T16" s="2" t="s">
        <v>128</v>
      </c>
      <c r="U16" s="35">
        <f>S16</f>
        <v>800</v>
      </c>
      <c r="W16" s="12"/>
      <c r="X16" s="15"/>
    </row>
    <row r="17" spans="1:24" x14ac:dyDescent="0.25">
      <c r="A17" s="20"/>
      <c r="B17" s="15"/>
      <c r="C17" s="20" t="s">
        <v>143</v>
      </c>
      <c r="F17" s="20">
        <v>0.47</v>
      </c>
      <c r="G17" s="20"/>
      <c r="H17" s="15"/>
      <c r="I17" s="17">
        <f>ROUND(I13+I9,0)</f>
        <v>118572</v>
      </c>
      <c r="J17" s="31">
        <f>J13+J9</f>
        <v>0.37</v>
      </c>
      <c r="L17" s="15"/>
      <c r="M17" s="64" t="s">
        <v>144</v>
      </c>
      <c r="N17" s="64" t="s">
        <v>145</v>
      </c>
      <c r="P17" s="15"/>
      <c r="W17" s="12"/>
      <c r="X17" s="15"/>
    </row>
    <row r="18" spans="1:24" x14ac:dyDescent="0.25">
      <c r="A18" s="24"/>
      <c r="B18" s="15"/>
      <c r="C18" s="24" t="s">
        <v>146</v>
      </c>
      <c r="F18" s="24">
        <f>1-F17-F16</f>
        <v>0.35000000000000003</v>
      </c>
      <c r="G18" s="24"/>
      <c r="H18" s="15"/>
      <c r="L18" s="15"/>
      <c r="M18" s="31">
        <f>ROUND(M13/366/1440*2.25,2)</f>
        <v>0.44</v>
      </c>
      <c r="N18" s="2">
        <v>1500</v>
      </c>
      <c r="P18" s="15"/>
      <c r="Q18" t="s">
        <v>147</v>
      </c>
      <c r="T18" s="2" t="s">
        <v>128</v>
      </c>
      <c r="U18" s="35">
        <f>U16+U13+U9</f>
        <v>800</v>
      </c>
      <c r="W18" s="12"/>
      <c r="X18" s="15"/>
    </row>
    <row r="19" spans="1:24" x14ac:dyDescent="0.25">
      <c r="B19" s="15"/>
      <c r="H19" s="15"/>
      <c r="L19" s="15"/>
      <c r="P19" s="15"/>
      <c r="W19" s="12"/>
      <c r="X19" s="15"/>
    </row>
    <row r="20" spans="1:24" x14ac:dyDescent="0.25">
      <c r="B20" s="15"/>
      <c r="C20" t="s">
        <v>148</v>
      </c>
      <c r="H20" s="15"/>
      <c r="L20" s="15"/>
      <c r="M20" t="s">
        <v>149</v>
      </c>
      <c r="P20" s="15"/>
      <c r="Q20" t="s">
        <v>150</v>
      </c>
      <c r="W20" s="12"/>
      <c r="X20" s="15"/>
    </row>
    <row r="21" spans="1:24" x14ac:dyDescent="0.25">
      <c r="A21" s="23"/>
      <c r="B21" s="15"/>
      <c r="C21" s="23" t="s">
        <v>151</v>
      </c>
      <c r="F21" s="23">
        <f>F9+1000</f>
        <v>3400</v>
      </c>
      <c r="G21" s="23"/>
      <c r="H21" s="15"/>
      <c r="L21" s="15"/>
      <c r="M21" s="333" t="s">
        <v>152</v>
      </c>
      <c r="N21" s="333"/>
      <c r="P21" s="15"/>
      <c r="Q21" s="21" t="s">
        <v>153</v>
      </c>
      <c r="W21" s="12"/>
      <c r="X21" s="15"/>
    </row>
    <row r="22" spans="1:24" x14ac:dyDescent="0.25">
      <c r="B22" s="15"/>
      <c r="H22" s="15"/>
      <c r="L22" s="15"/>
      <c r="M22" s="334" t="s">
        <v>154</v>
      </c>
      <c r="N22" s="334"/>
      <c r="P22" s="15"/>
      <c r="Q22" s="40">
        <f>M23</f>
        <v>176</v>
      </c>
      <c r="R22" s="33" t="s">
        <v>127</v>
      </c>
      <c r="S22" s="37">
        <f>'Tap Calculator'!AJ121</f>
        <v>41.19318181818182</v>
      </c>
      <c r="T22" s="2" t="s">
        <v>128</v>
      </c>
      <c r="U22" s="35">
        <f>ROUND(Q22*S22,0)</f>
        <v>7250</v>
      </c>
      <c r="W22" s="12"/>
      <c r="X22" s="15"/>
    </row>
    <row r="23" spans="1:24" x14ac:dyDescent="0.25">
      <c r="B23" s="15"/>
      <c r="H23" s="15"/>
      <c r="L23" s="15"/>
      <c r="M23" s="335">
        <f>ROUND(M9/366,0)</f>
        <v>176</v>
      </c>
      <c r="N23" s="335"/>
      <c r="P23" s="15"/>
      <c r="W23" s="12"/>
      <c r="X23" s="15"/>
    </row>
    <row r="24" spans="1:24" ht="15.75" thickBot="1" x14ac:dyDescent="0.3">
      <c r="B24" s="13"/>
      <c r="C24" s="9"/>
      <c r="D24" s="9"/>
      <c r="E24" s="9"/>
      <c r="F24" s="9"/>
      <c r="G24" s="9"/>
      <c r="H24" s="13"/>
      <c r="I24" s="9"/>
      <c r="J24" s="9"/>
      <c r="K24" s="9"/>
      <c r="L24" s="13"/>
      <c r="M24" s="9"/>
      <c r="N24" s="9"/>
      <c r="O24" s="9"/>
      <c r="P24" s="13"/>
      <c r="Q24" s="9" t="s">
        <v>155</v>
      </c>
      <c r="R24" s="9"/>
      <c r="S24" s="9"/>
      <c r="T24" s="8" t="s">
        <v>128</v>
      </c>
      <c r="U24" s="42">
        <f>U22+U18</f>
        <v>8050</v>
      </c>
      <c r="V24" s="9"/>
      <c r="W24" s="14"/>
      <c r="X24" s="15"/>
    </row>
    <row r="25" spans="1:24" x14ac:dyDescent="0.25">
      <c r="B25" s="5"/>
      <c r="C25" s="5"/>
      <c r="D25" s="5"/>
      <c r="E25" s="5"/>
      <c r="F25" s="5"/>
      <c r="G25" s="5"/>
      <c r="H25" s="5"/>
      <c r="I25" s="5"/>
      <c r="J25" s="5"/>
      <c r="K25" s="5"/>
      <c r="L25" s="5"/>
      <c r="M25" s="5"/>
      <c r="N25" s="5"/>
      <c r="O25" s="5"/>
      <c r="P25" s="5"/>
      <c r="Q25" s="5"/>
      <c r="R25" s="5"/>
      <c r="S25" s="5"/>
      <c r="T25" s="5"/>
      <c r="U25" s="5"/>
      <c r="V25" s="5"/>
      <c r="W25" s="5"/>
    </row>
    <row r="26" spans="1:24" x14ac:dyDescent="0.25">
      <c r="C26" t="s">
        <v>45</v>
      </c>
    </row>
    <row r="27" spans="1:24" x14ac:dyDescent="0.25">
      <c r="C27" s="21" t="s">
        <v>156</v>
      </c>
    </row>
    <row r="28" spans="1:24" x14ac:dyDescent="0.25">
      <c r="C28" s="21" t="s">
        <v>157</v>
      </c>
    </row>
    <row r="29" spans="1:24" x14ac:dyDescent="0.25">
      <c r="C29" s="21" t="s">
        <v>158</v>
      </c>
    </row>
    <row r="30" spans="1:24" x14ac:dyDescent="0.25">
      <c r="C30" s="21" t="s">
        <v>159</v>
      </c>
    </row>
    <row r="31" spans="1:24" x14ac:dyDescent="0.25">
      <c r="C31" s="21" t="s">
        <v>160</v>
      </c>
    </row>
    <row r="32" spans="1:24" x14ac:dyDescent="0.25">
      <c r="C32" s="21" t="s">
        <v>161</v>
      </c>
    </row>
    <row r="33" spans="3:4" x14ac:dyDescent="0.25">
      <c r="C33" s="21" t="s">
        <v>162</v>
      </c>
    </row>
    <row r="34" spans="3:4" x14ac:dyDescent="0.25">
      <c r="C34" s="21" t="s">
        <v>163</v>
      </c>
    </row>
    <row r="35" spans="3:4" x14ac:dyDescent="0.25">
      <c r="C35" s="21" t="s">
        <v>164</v>
      </c>
    </row>
    <row r="36" spans="3:4" x14ac:dyDescent="0.25">
      <c r="C36" s="21" t="s">
        <v>165</v>
      </c>
    </row>
    <row r="37" spans="3:4" x14ac:dyDescent="0.25">
      <c r="C37" s="21" t="s">
        <v>166</v>
      </c>
    </row>
    <row r="38" spans="3:4" x14ac:dyDescent="0.25">
      <c r="C38" s="21" t="s">
        <v>167</v>
      </c>
    </row>
    <row r="39" spans="3:4" x14ac:dyDescent="0.25">
      <c r="C39" s="21" t="s">
        <v>168</v>
      </c>
    </row>
    <row r="43" spans="3:4" x14ac:dyDescent="0.25">
      <c r="C43" s="1" t="s">
        <v>13</v>
      </c>
      <c r="D43">
        <f>N13/0.4</f>
        <v>0.79999999999999993</v>
      </c>
    </row>
  </sheetData>
  <mergeCells count="3">
    <mergeCell ref="M21:N21"/>
    <mergeCell ref="M22:N22"/>
    <mergeCell ref="M23:N23"/>
  </mergeCells>
  <printOptions horizontalCentered="1"/>
  <pageMargins left="0.7" right="0.7" top="0.75" bottom="0.75" header="0.3" footer="0.3"/>
  <pageSetup paperSize="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T76"/>
  <sheetViews>
    <sheetView topLeftCell="D37" workbookViewId="0">
      <selection activeCell="U65" sqref="U65"/>
    </sheetView>
  </sheetViews>
  <sheetFormatPr defaultRowHeight="15" x14ac:dyDescent="0.25"/>
  <cols>
    <col min="1" max="1" width="13.85546875" customWidth="1"/>
    <col min="2" max="2" width="10.42578125" customWidth="1"/>
    <col min="3" max="3" width="11" customWidth="1"/>
    <col min="5" max="5" width="12" customWidth="1"/>
    <col min="7" max="7" width="22.85546875" customWidth="1"/>
  </cols>
  <sheetData>
    <row r="4" spans="1:20" x14ac:dyDescent="0.25">
      <c r="A4" s="55"/>
      <c r="B4" s="55"/>
      <c r="C4" s="55"/>
      <c r="D4" s="55"/>
      <c r="E4" s="55"/>
      <c r="F4" s="55"/>
      <c r="G4" s="55"/>
      <c r="H4" s="55"/>
      <c r="I4" s="55"/>
      <c r="J4" s="55"/>
      <c r="K4" s="55"/>
      <c r="L4" s="55"/>
      <c r="M4" s="55"/>
      <c r="N4" s="55"/>
      <c r="O4" s="55"/>
      <c r="P4" s="55"/>
      <c r="Q4" s="55"/>
      <c r="R4" s="55"/>
      <c r="S4" s="55"/>
      <c r="T4" s="55"/>
    </row>
    <row r="5" spans="1:20" x14ac:dyDescent="0.25">
      <c r="B5" t="s">
        <v>169</v>
      </c>
      <c r="E5" s="44">
        <f>6+25</f>
        <v>31</v>
      </c>
    </row>
    <row r="6" spans="1:20" ht="15.75" thickBot="1" x14ac:dyDescent="0.3"/>
    <row r="7" spans="1:20" x14ac:dyDescent="0.25">
      <c r="B7" s="10" t="s">
        <v>85</v>
      </c>
      <c r="C7" s="6" t="s">
        <v>170</v>
      </c>
      <c r="D7" s="28" t="s">
        <v>85</v>
      </c>
      <c r="E7" s="45"/>
    </row>
    <row r="8" spans="1:20" ht="15.75" thickBot="1" x14ac:dyDescent="0.3">
      <c r="B8" s="7" t="s">
        <v>171</v>
      </c>
      <c r="C8" s="50" t="s">
        <v>172</v>
      </c>
      <c r="D8" s="51" t="s">
        <v>173</v>
      </c>
      <c r="E8" s="52"/>
      <c r="H8" s="2" t="s">
        <v>29</v>
      </c>
      <c r="I8" s="2" t="s">
        <v>30</v>
      </c>
      <c r="J8" s="2" t="s">
        <v>31</v>
      </c>
      <c r="K8" s="2" t="s">
        <v>32</v>
      </c>
      <c r="L8" s="2" t="s">
        <v>33</v>
      </c>
      <c r="M8" s="2" t="s">
        <v>34</v>
      </c>
      <c r="N8" s="2" t="s">
        <v>35</v>
      </c>
      <c r="O8" s="2" t="s">
        <v>36</v>
      </c>
      <c r="P8" s="2" t="s">
        <v>37</v>
      </c>
      <c r="Q8" s="2" t="s">
        <v>38</v>
      </c>
      <c r="R8" s="2" t="s">
        <v>39</v>
      </c>
      <c r="S8" s="2" t="s">
        <v>40</v>
      </c>
      <c r="T8" s="2" t="s">
        <v>174</v>
      </c>
    </row>
    <row r="9" spans="1:20" x14ac:dyDescent="0.25">
      <c r="B9" s="16" t="s">
        <v>14</v>
      </c>
      <c r="C9">
        <v>3.85</v>
      </c>
      <c r="D9" s="46">
        <v>0</v>
      </c>
      <c r="E9" s="47">
        <v>5000</v>
      </c>
      <c r="G9" s="1" t="s">
        <v>175</v>
      </c>
      <c r="H9" s="19" t="e">
        <f>MIN($E9/1000,'Tap Calculator'!AN129)</f>
        <v>#REF!</v>
      </c>
      <c r="I9" s="19" t="e">
        <f>MIN($E9/1000,'Tap Calculator'!AO129)</f>
        <v>#REF!</v>
      </c>
      <c r="J9" s="19" t="e">
        <f>MIN($E9/1000,'Tap Calculator'!AP129)</f>
        <v>#REF!</v>
      </c>
      <c r="K9" s="19" t="e">
        <f>MIN($E9/1000,'Tap Calculator'!AQ129)</f>
        <v>#REF!</v>
      </c>
      <c r="L9" s="19" t="e">
        <f>MIN($E9/1000,'Tap Calculator'!AR129)</f>
        <v>#REF!</v>
      </c>
      <c r="M9" s="19" t="e">
        <f>MIN($E9/1000,'Tap Calculator'!AS129)</f>
        <v>#REF!</v>
      </c>
      <c r="N9" s="19" t="e">
        <f>MIN($E9/1000,'Tap Calculator'!AT129)</f>
        <v>#REF!</v>
      </c>
      <c r="O9" s="19" t="e">
        <f>MIN($E9/1000,'Tap Calculator'!AU129)</f>
        <v>#REF!</v>
      </c>
      <c r="P9" s="19" t="e">
        <f>MIN($E9/1000,'Tap Calculator'!AV129)</f>
        <v>#REF!</v>
      </c>
      <c r="Q9" s="19" t="e">
        <f>MIN($E9/1000,'Tap Calculator'!AW129)</f>
        <v>#REF!</v>
      </c>
      <c r="R9" s="19" t="e">
        <f>MIN($E9/1000,'Tap Calculator'!AX129)</f>
        <v>#REF!</v>
      </c>
      <c r="S9" s="19" t="e">
        <f>MIN($E9/1000,'Tap Calculator'!AY129)</f>
        <v>#REF!</v>
      </c>
    </row>
    <row r="10" spans="1:20" x14ac:dyDescent="0.25">
      <c r="B10" s="16" t="s">
        <v>15</v>
      </c>
      <c r="C10">
        <v>5.65</v>
      </c>
      <c r="D10" s="46">
        <v>6000</v>
      </c>
      <c r="E10" s="47">
        <v>20000</v>
      </c>
      <c r="G10" s="1" t="s">
        <v>176</v>
      </c>
      <c r="H10" s="19" t="e">
        <f>MIN($E10/1000-H9,'Tap Calculator'!AN129-'Monthly Cost Compare'!H9)</f>
        <v>#REF!</v>
      </c>
      <c r="I10" s="19" t="e">
        <f>MIN($E10/1000-I9,'Tap Calculator'!AO129-'Monthly Cost Compare'!I9)</f>
        <v>#REF!</v>
      </c>
      <c r="J10" s="19" t="e">
        <f>MIN($E10/1000-J9,'Tap Calculator'!AP129-'Monthly Cost Compare'!J9)</f>
        <v>#REF!</v>
      </c>
      <c r="K10" s="19" t="e">
        <f>MIN($E10/1000-K9,'Tap Calculator'!AQ129-'Monthly Cost Compare'!K9)</f>
        <v>#REF!</v>
      </c>
      <c r="L10" s="19" t="e">
        <f>MIN($E10/1000-L9,'Tap Calculator'!AR129-'Monthly Cost Compare'!L9)</f>
        <v>#REF!</v>
      </c>
      <c r="M10" s="19" t="e">
        <f>MIN($E10/1000-M9,'Tap Calculator'!AS129-'Monthly Cost Compare'!M9)</f>
        <v>#REF!</v>
      </c>
      <c r="N10" s="19" t="e">
        <f>MIN($E10/1000-N9,'Tap Calculator'!AT129-'Monthly Cost Compare'!N9)</f>
        <v>#REF!</v>
      </c>
      <c r="O10" s="19" t="e">
        <f>MIN($E10/1000-O9,'Tap Calculator'!AU129-'Monthly Cost Compare'!O9)</f>
        <v>#REF!</v>
      </c>
      <c r="P10" s="19" t="e">
        <f>MIN($E10/1000-P9,'Tap Calculator'!AV129-'Monthly Cost Compare'!P9)</f>
        <v>#REF!</v>
      </c>
      <c r="Q10" s="19" t="e">
        <f>MIN($E10/1000-Q9,'Tap Calculator'!AW129-'Monthly Cost Compare'!Q9)</f>
        <v>#REF!</v>
      </c>
      <c r="R10" s="19" t="e">
        <f>MIN($E10/1000-R9,'Tap Calculator'!AX129-'Monthly Cost Compare'!R9)</f>
        <v>#REF!</v>
      </c>
      <c r="S10" s="19" t="e">
        <f>MIN($E10/1000-S9,'Tap Calculator'!AY129-'Monthly Cost Compare'!S9)</f>
        <v>#REF!</v>
      </c>
    </row>
    <row r="11" spans="1:20" x14ac:dyDescent="0.25">
      <c r="B11" s="16" t="s">
        <v>16</v>
      </c>
      <c r="C11">
        <v>8.6</v>
      </c>
      <c r="D11" s="46">
        <v>21000</v>
      </c>
      <c r="E11" s="47">
        <v>30000</v>
      </c>
      <c r="G11" s="1" t="s">
        <v>177</v>
      </c>
      <c r="H11" s="19" t="e">
        <f>MIN($E11/1000-$E10/1000,'Tap Calculator'!AN129-H9-H10)</f>
        <v>#REF!</v>
      </c>
      <c r="I11" s="19" t="e">
        <f>MIN($E11/1000-$E10/1000,'Tap Calculator'!AO129-I9-I10)</f>
        <v>#REF!</v>
      </c>
      <c r="J11" s="19" t="e">
        <f>MIN($E11/1000-$E10/1000,'Tap Calculator'!AP129-J9-J10)</f>
        <v>#REF!</v>
      </c>
      <c r="K11" s="19" t="e">
        <f>MIN($E11/1000-$E10/1000,'Tap Calculator'!AQ129-K9-K10)</f>
        <v>#REF!</v>
      </c>
      <c r="L11" s="19" t="e">
        <f>MIN($E11/1000-$E10/1000,'Tap Calculator'!AR129-L9-L10)</f>
        <v>#REF!</v>
      </c>
      <c r="M11" s="19" t="e">
        <f>MIN($E11/1000-$E10/1000,'Tap Calculator'!AS129-M9-M10)</f>
        <v>#REF!</v>
      </c>
      <c r="N11" s="19" t="e">
        <f>MIN($E11/1000-$E10/1000,'Tap Calculator'!AT129-N9-N10)</f>
        <v>#REF!</v>
      </c>
      <c r="O11" s="19" t="e">
        <f>MIN($E11/1000-$E10/1000,'Tap Calculator'!AU129-O9-O10)</f>
        <v>#REF!</v>
      </c>
      <c r="P11" s="19" t="e">
        <f>MIN($E11/1000-$E10/1000,'Tap Calculator'!AV129-P9-P10)</f>
        <v>#REF!</v>
      </c>
      <c r="Q11" s="19" t="e">
        <f>MIN($E11/1000-$E10/1000,'Tap Calculator'!AW129-Q9-Q10)</f>
        <v>#REF!</v>
      </c>
      <c r="R11" s="19" t="e">
        <f>MIN($E11/1000-$E10/1000,'Tap Calculator'!AX129-R9-R10)</f>
        <v>#REF!</v>
      </c>
      <c r="S11" s="19" t="e">
        <f>MIN($E11/1000-$E10/1000,'Tap Calculator'!AY129-S9-S10)</f>
        <v>#REF!</v>
      </c>
    </row>
    <row r="12" spans="1:20" x14ac:dyDescent="0.25">
      <c r="B12" s="16" t="s">
        <v>17</v>
      </c>
      <c r="C12">
        <v>11.25</v>
      </c>
      <c r="D12" s="46">
        <v>31000</v>
      </c>
      <c r="E12" s="47">
        <v>40000</v>
      </c>
      <c r="G12" s="1" t="s">
        <v>178</v>
      </c>
      <c r="H12" s="19" t="e">
        <f>MIN($E12/1000-$E11/1000,'Tap Calculator'!AN129-H9-H10-H11)</f>
        <v>#REF!</v>
      </c>
      <c r="I12" s="19" t="e">
        <f>MIN($E12/1000-$E11/1000,'Tap Calculator'!AO129-I9-I10-I11)</f>
        <v>#REF!</v>
      </c>
      <c r="J12" s="19" t="e">
        <f>MIN($E12/1000-$E11/1000,'Tap Calculator'!AP129-J9-J10-J11)</f>
        <v>#REF!</v>
      </c>
      <c r="K12" s="19" t="e">
        <f>MIN($E12/1000-$E11/1000,'Tap Calculator'!AQ129-K9-K10-K11)</f>
        <v>#REF!</v>
      </c>
      <c r="L12" s="19" t="e">
        <f>MIN($E12/1000-$E11/1000,'Tap Calculator'!AR129-L9-L10-L11)</f>
        <v>#REF!</v>
      </c>
      <c r="M12" s="19" t="e">
        <f>MIN($E12/1000-$E11/1000,'Tap Calculator'!AS129-M9-M10-M11)</f>
        <v>#REF!</v>
      </c>
      <c r="N12" s="19" t="e">
        <f>MIN($E12/1000-$E11/1000,'Tap Calculator'!AT129-N9-N10-N11)</f>
        <v>#REF!</v>
      </c>
      <c r="O12" s="19" t="e">
        <f>MIN($E12/1000-$E11/1000,'Tap Calculator'!AU129-O9-O10-O11)</f>
        <v>#REF!</v>
      </c>
      <c r="P12" s="19" t="e">
        <f>MIN($E12/1000-$E11/1000,'Tap Calculator'!AV129-P9-P10-P11)</f>
        <v>#REF!</v>
      </c>
      <c r="Q12" s="19" t="e">
        <f>MIN($E12/1000-$E11/1000,'Tap Calculator'!AW129-Q9-Q10-Q11)</f>
        <v>#REF!</v>
      </c>
      <c r="R12" s="19" t="e">
        <f>MIN($E12/1000-$E11/1000,'Tap Calculator'!AX129-R9-R10-R11)</f>
        <v>#REF!</v>
      </c>
      <c r="S12" s="19" t="e">
        <f>MIN($E12/1000-$E11/1000,'Tap Calculator'!AY129-S9-S10-S11)</f>
        <v>#REF!</v>
      </c>
    </row>
    <row r="13" spans="1:20" ht="15.75" thickBot="1" x14ac:dyDescent="0.3">
      <c r="B13" s="18" t="s">
        <v>179</v>
      </c>
      <c r="C13" s="9">
        <v>12.5</v>
      </c>
      <c r="D13" s="48">
        <v>41000</v>
      </c>
      <c r="E13" s="49"/>
      <c r="G13" s="1" t="s">
        <v>180</v>
      </c>
      <c r="H13" s="19" t="e">
        <f>'Tap Calculator'!AN129-H9-H10-H11-H12</f>
        <v>#REF!</v>
      </c>
      <c r="I13" s="19" t="e">
        <f>'Tap Calculator'!AO129-I9-I10-I11-I12</f>
        <v>#REF!</v>
      </c>
      <c r="J13" s="19" t="e">
        <f>'Tap Calculator'!AP129-J9-J10-J11-J12</f>
        <v>#REF!</v>
      </c>
      <c r="K13" s="19" t="e">
        <f>'Tap Calculator'!AQ129-K9-K10-K11-K12</f>
        <v>#REF!</v>
      </c>
      <c r="L13" s="19" t="e">
        <f>'Tap Calculator'!AR129-L9-L10-L11-L12</f>
        <v>#REF!</v>
      </c>
      <c r="M13" s="19" t="e">
        <f>'Tap Calculator'!AS129-M9-M10-M11-M12</f>
        <v>#REF!</v>
      </c>
      <c r="N13" s="19" t="e">
        <f>'Tap Calculator'!AT129-N9-N10-N11-N12</f>
        <v>#REF!</v>
      </c>
      <c r="O13" s="19" t="e">
        <f>'Tap Calculator'!AU129-O9-O10-O11-O12</f>
        <v>#REF!</v>
      </c>
      <c r="P13" s="19" t="e">
        <f>'Tap Calculator'!AV129-P9-P10-P11-P12</f>
        <v>#REF!</v>
      </c>
      <c r="Q13" s="19" t="e">
        <f>'Tap Calculator'!AW129-Q9-Q10-Q11-Q12</f>
        <v>#REF!</v>
      </c>
      <c r="R13" s="19" t="e">
        <f>'Tap Calculator'!AX129-R9-R10-R11-R12</f>
        <v>#REF!</v>
      </c>
      <c r="S13" s="19" t="e">
        <f>'Tap Calculator'!AY129-S9-S10-S11-S12</f>
        <v>#REF!</v>
      </c>
    </row>
    <row r="14" spans="1:20" x14ac:dyDescent="0.25">
      <c r="G14" s="1"/>
    </row>
    <row r="15" spans="1:20" x14ac:dyDescent="0.25">
      <c r="G15" s="1" t="s">
        <v>181</v>
      </c>
      <c r="H15" s="43" t="e">
        <f>$E5+H9*$C9+H10*$C10+H11*$C11+H12*$C12+H13*$C13</f>
        <v>#REF!</v>
      </c>
      <c r="I15" s="43" t="e">
        <f t="shared" ref="I15:S15" si="0">$E5+I9*$C9+I10*$C10+I11*$C11+I12*$C12+I13*$C13</f>
        <v>#REF!</v>
      </c>
      <c r="J15" s="43" t="e">
        <f t="shared" si="0"/>
        <v>#REF!</v>
      </c>
      <c r="K15" s="43" t="e">
        <f t="shared" si="0"/>
        <v>#REF!</v>
      </c>
      <c r="L15" s="43" t="e">
        <f t="shared" si="0"/>
        <v>#REF!</v>
      </c>
      <c r="M15" s="43" t="e">
        <f t="shared" si="0"/>
        <v>#REF!</v>
      </c>
      <c r="N15" s="43" t="e">
        <f t="shared" si="0"/>
        <v>#REF!</v>
      </c>
      <c r="O15" s="43" t="e">
        <f t="shared" si="0"/>
        <v>#REF!</v>
      </c>
      <c r="P15" s="43" t="e">
        <f t="shared" si="0"/>
        <v>#REF!</v>
      </c>
      <c r="Q15" s="43" t="e">
        <f t="shared" si="0"/>
        <v>#REF!</v>
      </c>
      <c r="R15" s="43" t="e">
        <f t="shared" si="0"/>
        <v>#REF!</v>
      </c>
      <c r="S15" s="43" t="e">
        <f t="shared" si="0"/>
        <v>#REF!</v>
      </c>
    </row>
    <row r="16" spans="1:20" x14ac:dyDescent="0.25">
      <c r="D16" s="1" t="s">
        <v>182</v>
      </c>
      <c r="E16" s="44">
        <v>34.5</v>
      </c>
      <c r="G16" s="1" t="s">
        <v>42</v>
      </c>
      <c r="H16" s="43">
        <f>$E16</f>
        <v>34.5</v>
      </c>
      <c r="I16" s="43">
        <f t="shared" ref="I16:S16" si="1">$E16</f>
        <v>34.5</v>
      </c>
      <c r="J16" s="43">
        <f t="shared" si="1"/>
        <v>34.5</v>
      </c>
      <c r="K16" s="43">
        <f t="shared" si="1"/>
        <v>34.5</v>
      </c>
      <c r="L16" s="43">
        <f t="shared" si="1"/>
        <v>34.5</v>
      </c>
      <c r="M16" s="43">
        <f t="shared" si="1"/>
        <v>34.5</v>
      </c>
      <c r="N16" s="43">
        <f t="shared" si="1"/>
        <v>34.5</v>
      </c>
      <c r="O16" s="43">
        <f t="shared" si="1"/>
        <v>34.5</v>
      </c>
      <c r="P16" s="43">
        <f t="shared" si="1"/>
        <v>34.5</v>
      </c>
      <c r="Q16" s="43">
        <f t="shared" si="1"/>
        <v>34.5</v>
      </c>
      <c r="R16" s="43">
        <f t="shared" si="1"/>
        <v>34.5</v>
      </c>
      <c r="S16" s="43">
        <f t="shared" si="1"/>
        <v>34.5</v>
      </c>
    </row>
    <row r="17" spans="1:20" x14ac:dyDescent="0.25">
      <c r="D17" s="1" t="s">
        <v>183</v>
      </c>
      <c r="E17" s="44">
        <v>0</v>
      </c>
      <c r="G17" s="1" t="s">
        <v>184</v>
      </c>
      <c r="H17" s="43">
        <f>E23/12</f>
        <v>7.1992304999999996</v>
      </c>
      <c r="I17" s="43">
        <f>H17</f>
        <v>7.1992304999999996</v>
      </c>
      <c r="J17" s="43">
        <f t="shared" ref="J17:S17" si="2">I17</f>
        <v>7.1992304999999996</v>
      </c>
      <c r="K17" s="43">
        <f t="shared" si="2"/>
        <v>7.1992304999999996</v>
      </c>
      <c r="L17" s="43">
        <f t="shared" si="2"/>
        <v>7.1992304999999996</v>
      </c>
      <c r="M17" s="43">
        <f t="shared" si="2"/>
        <v>7.1992304999999996</v>
      </c>
      <c r="N17" s="43">
        <f t="shared" si="2"/>
        <v>7.1992304999999996</v>
      </c>
      <c r="O17" s="43">
        <f t="shared" si="2"/>
        <v>7.1992304999999996</v>
      </c>
      <c r="P17" s="43">
        <f t="shared" si="2"/>
        <v>7.1992304999999996</v>
      </c>
      <c r="Q17" s="43">
        <f t="shared" si="2"/>
        <v>7.1992304999999996</v>
      </c>
      <c r="R17" s="43">
        <f t="shared" si="2"/>
        <v>7.1992304999999996</v>
      </c>
      <c r="S17" s="43">
        <f t="shared" si="2"/>
        <v>7.1992304999999996</v>
      </c>
    </row>
    <row r="18" spans="1:20" x14ac:dyDescent="0.25">
      <c r="G18" s="1" t="s">
        <v>43</v>
      </c>
      <c r="H18" s="43" t="e">
        <f>SUM(H15:H17)</f>
        <v>#REF!</v>
      </c>
      <c r="I18" s="43" t="e">
        <f t="shared" ref="I18:S18" si="3">SUM(I15:I17)</f>
        <v>#REF!</v>
      </c>
      <c r="J18" s="43" t="e">
        <f t="shared" si="3"/>
        <v>#REF!</v>
      </c>
      <c r="K18" s="43" t="e">
        <f t="shared" si="3"/>
        <v>#REF!</v>
      </c>
      <c r="L18" s="43" t="e">
        <f t="shared" si="3"/>
        <v>#REF!</v>
      </c>
      <c r="M18" s="43" t="e">
        <f t="shared" si="3"/>
        <v>#REF!</v>
      </c>
      <c r="N18" s="43" t="e">
        <f t="shared" si="3"/>
        <v>#REF!</v>
      </c>
      <c r="O18" s="43" t="e">
        <f t="shared" si="3"/>
        <v>#REF!</v>
      </c>
      <c r="P18" s="43" t="e">
        <f t="shared" si="3"/>
        <v>#REF!</v>
      </c>
      <c r="Q18" s="43" t="e">
        <f t="shared" si="3"/>
        <v>#REF!</v>
      </c>
      <c r="R18" s="43" t="e">
        <f t="shared" si="3"/>
        <v>#REF!</v>
      </c>
      <c r="S18" s="43" t="e">
        <f t="shared" si="3"/>
        <v>#REF!</v>
      </c>
      <c r="T18" s="43" t="e">
        <f>SUM(H18:S18)</f>
        <v>#REF!</v>
      </c>
    </row>
    <row r="19" spans="1:20" x14ac:dyDescent="0.25">
      <c r="D19" s="38" t="s">
        <v>185</v>
      </c>
      <c r="E19" s="2">
        <v>4.266</v>
      </c>
    </row>
    <row r="20" spans="1:20" x14ac:dyDescent="0.25">
      <c r="D20" s="1" t="s">
        <v>186</v>
      </c>
      <c r="E20" s="35">
        <v>372000</v>
      </c>
    </row>
    <row r="21" spans="1:20" x14ac:dyDescent="0.25">
      <c r="D21" s="38" t="s">
        <v>187</v>
      </c>
      <c r="E21" s="54">
        <v>5.4438172043010755E-2</v>
      </c>
    </row>
    <row r="22" spans="1:20" x14ac:dyDescent="0.25">
      <c r="D22" s="1" t="s">
        <v>188</v>
      </c>
      <c r="E22" s="35">
        <f>E20*E21</f>
        <v>20251</v>
      </c>
    </row>
    <row r="23" spans="1:20" x14ac:dyDescent="0.25">
      <c r="D23" s="1" t="s">
        <v>189</v>
      </c>
      <c r="E23" s="44">
        <f>E19/1000*E22</f>
        <v>86.390765999999999</v>
      </c>
    </row>
    <row r="25" spans="1:20" x14ac:dyDescent="0.25">
      <c r="B25" s="21" t="s">
        <v>190</v>
      </c>
    </row>
    <row r="26" spans="1:20" x14ac:dyDescent="0.25">
      <c r="B26" s="21" t="s">
        <v>191</v>
      </c>
    </row>
    <row r="28" spans="1:20" x14ac:dyDescent="0.25">
      <c r="A28" s="55"/>
      <c r="B28" s="55"/>
      <c r="C28" s="55"/>
      <c r="D28" s="55"/>
      <c r="E28" s="55"/>
      <c r="F28" s="55"/>
      <c r="G28" s="55"/>
      <c r="H28" s="55"/>
      <c r="I28" s="55"/>
      <c r="J28" s="55"/>
      <c r="K28" s="55"/>
      <c r="L28" s="55"/>
      <c r="M28" s="55"/>
      <c r="N28" s="55"/>
      <c r="O28" s="55"/>
      <c r="P28" s="55"/>
      <c r="Q28" s="55"/>
      <c r="R28" s="55"/>
      <c r="S28" s="55"/>
      <c r="T28" s="55"/>
    </row>
    <row r="30" spans="1:20" x14ac:dyDescent="0.25">
      <c r="B30" t="s">
        <v>192</v>
      </c>
      <c r="E30" s="44">
        <v>30.13</v>
      </c>
    </row>
    <row r="31" spans="1:20" ht="15.75" thickBot="1" x14ac:dyDescent="0.3"/>
    <row r="32" spans="1:20" x14ac:dyDescent="0.25">
      <c r="B32" s="10" t="s">
        <v>85</v>
      </c>
      <c r="C32" s="6" t="s">
        <v>170</v>
      </c>
      <c r="D32" s="28" t="s">
        <v>85</v>
      </c>
      <c r="E32" s="45"/>
    </row>
    <row r="33" spans="2:20" ht="15.75" thickBot="1" x14ac:dyDescent="0.3">
      <c r="B33" s="7" t="s">
        <v>171</v>
      </c>
      <c r="C33" s="50" t="s">
        <v>172</v>
      </c>
      <c r="D33" s="51" t="s">
        <v>173</v>
      </c>
      <c r="E33" s="52"/>
      <c r="H33" s="2" t="s">
        <v>29</v>
      </c>
      <c r="I33" s="2" t="s">
        <v>30</v>
      </c>
      <c r="J33" s="2" t="s">
        <v>31</v>
      </c>
      <c r="K33" s="2" t="s">
        <v>32</v>
      </c>
      <c r="L33" s="2" t="s">
        <v>33</v>
      </c>
      <c r="M33" s="2" t="s">
        <v>34</v>
      </c>
      <c r="N33" s="2" t="s">
        <v>35</v>
      </c>
      <c r="O33" s="2" t="s">
        <v>36</v>
      </c>
      <c r="P33" s="2" t="s">
        <v>37</v>
      </c>
      <c r="Q33" s="2" t="s">
        <v>38</v>
      </c>
      <c r="R33" s="2" t="s">
        <v>39</v>
      </c>
      <c r="S33" s="2" t="s">
        <v>40</v>
      </c>
      <c r="T33" s="2" t="s">
        <v>174</v>
      </c>
    </row>
    <row r="34" spans="2:20" x14ac:dyDescent="0.25">
      <c r="B34" s="16" t="s">
        <v>14</v>
      </c>
      <c r="C34">
        <v>2.27</v>
      </c>
      <c r="D34" s="46">
        <v>0</v>
      </c>
      <c r="E34" s="47">
        <v>6000</v>
      </c>
      <c r="G34" s="1" t="s">
        <v>175</v>
      </c>
      <c r="H34" s="19" t="e">
        <f>MIN($E34/1000,'Tap Calculator'!AN129)</f>
        <v>#REF!</v>
      </c>
      <c r="I34" s="19" t="e">
        <f>MIN($E34/1000,'Tap Calculator'!AO129)</f>
        <v>#REF!</v>
      </c>
      <c r="J34" s="19" t="e">
        <f>MIN($E34/1000,'Tap Calculator'!AP129)</f>
        <v>#REF!</v>
      </c>
      <c r="K34" s="19" t="e">
        <f>MIN($E34/1000,'Tap Calculator'!AQ129)</f>
        <v>#REF!</v>
      </c>
      <c r="L34" s="19" t="e">
        <f>MIN($E34/1000,'Tap Calculator'!AR129)</f>
        <v>#REF!</v>
      </c>
      <c r="M34" s="19" t="e">
        <f>MIN($E34/1000,'Tap Calculator'!AS129)</f>
        <v>#REF!</v>
      </c>
      <c r="N34" s="19" t="e">
        <f>MIN($E34/1000,'Tap Calculator'!AT129)</f>
        <v>#REF!</v>
      </c>
      <c r="O34" s="19" t="e">
        <f>MIN($E34/1000,'Tap Calculator'!AU129)</f>
        <v>#REF!</v>
      </c>
      <c r="P34" s="19" t="e">
        <f>MIN($E34/1000,'Tap Calculator'!AV129)</f>
        <v>#REF!</v>
      </c>
      <c r="Q34" s="19" t="e">
        <f>MIN($E34/1000,'Tap Calculator'!AW129)</f>
        <v>#REF!</v>
      </c>
      <c r="R34" s="19" t="e">
        <f>MIN($E34/1000,'Tap Calculator'!AX129)</f>
        <v>#REF!</v>
      </c>
      <c r="S34" s="19" t="e">
        <f>MIN($E34/1000,'Tap Calculator'!AY129)</f>
        <v>#REF!</v>
      </c>
    </row>
    <row r="35" spans="2:20" x14ac:dyDescent="0.25">
      <c r="B35" s="16" t="s">
        <v>15</v>
      </c>
      <c r="C35">
        <v>4.25</v>
      </c>
      <c r="D35" s="46">
        <v>6000</v>
      </c>
      <c r="E35" s="47">
        <v>20000</v>
      </c>
      <c r="G35" s="1" t="s">
        <v>176</v>
      </c>
      <c r="H35" s="19" t="e">
        <f>MIN($E35/1000-H34,'Tap Calculator'!AN129-'Monthly Cost Compare'!H34)</f>
        <v>#REF!</v>
      </c>
      <c r="I35" s="19" t="e">
        <f>MIN($E35/1000-I34,'Tap Calculator'!AO129-'Monthly Cost Compare'!I34)</f>
        <v>#REF!</v>
      </c>
      <c r="J35" s="19" t="e">
        <f>MIN($E35/1000-J34,'Tap Calculator'!AP129-'Monthly Cost Compare'!J34)</f>
        <v>#REF!</v>
      </c>
      <c r="K35" s="19" t="e">
        <f>MIN($E35/1000-K34,'Tap Calculator'!AQ129-'Monthly Cost Compare'!K34)</f>
        <v>#REF!</v>
      </c>
      <c r="L35" s="19" t="e">
        <f>MIN($E35/1000-L34,'Tap Calculator'!AR129-'Monthly Cost Compare'!L34)</f>
        <v>#REF!</v>
      </c>
      <c r="M35" s="19" t="e">
        <f>MIN($E35/1000-M34,'Tap Calculator'!AS129-'Monthly Cost Compare'!M34)</f>
        <v>#REF!</v>
      </c>
      <c r="N35" s="19" t="e">
        <f>MIN($E35/1000-N34,'Tap Calculator'!AT129-'Monthly Cost Compare'!N34)</f>
        <v>#REF!</v>
      </c>
      <c r="O35" s="19" t="e">
        <f>MIN($E35/1000-O34,'Tap Calculator'!AU129-'Monthly Cost Compare'!O34)</f>
        <v>#REF!</v>
      </c>
      <c r="P35" s="19" t="e">
        <f>MIN($E35/1000-P34,'Tap Calculator'!AV129-'Monthly Cost Compare'!P34)</f>
        <v>#REF!</v>
      </c>
      <c r="Q35" s="19" t="e">
        <f>MIN($E35/1000-Q34,'Tap Calculator'!AW129-'Monthly Cost Compare'!Q34)</f>
        <v>#REF!</v>
      </c>
      <c r="R35" s="19" t="e">
        <f>MIN($E35/1000-R34,'Tap Calculator'!AX129-'Monthly Cost Compare'!R34)</f>
        <v>#REF!</v>
      </c>
      <c r="S35" s="19" t="e">
        <f>MIN($E35/1000-S34,'Tap Calculator'!AY129-'Monthly Cost Compare'!S34)</f>
        <v>#REF!</v>
      </c>
    </row>
    <row r="36" spans="2:20" ht="15.75" thickBot="1" x14ac:dyDescent="0.3">
      <c r="B36" s="18" t="s">
        <v>16</v>
      </c>
      <c r="C36" s="9">
        <v>8.77</v>
      </c>
      <c r="D36" s="53">
        <v>21000</v>
      </c>
      <c r="E36" s="49">
        <v>30000</v>
      </c>
      <c r="G36" s="1" t="s">
        <v>177</v>
      </c>
      <c r="H36" s="19" t="e">
        <f>MIN($E36/1000-$E35/1000,'Tap Calculator'!AN129-H34-H35)</f>
        <v>#REF!</v>
      </c>
      <c r="I36" s="19" t="e">
        <f>MIN($E36/1000-$E35/1000,'Tap Calculator'!AO129-I34-I35)</f>
        <v>#REF!</v>
      </c>
      <c r="J36" s="19" t="e">
        <f>MIN($E36/1000-$E35/1000,'Tap Calculator'!AP129-J34-J35)</f>
        <v>#REF!</v>
      </c>
      <c r="K36" s="19" t="e">
        <f>MIN($E36/1000-$E35/1000,'Tap Calculator'!AQ129-K34-K35)</f>
        <v>#REF!</v>
      </c>
      <c r="L36" s="19" t="e">
        <f>MIN($E36/1000-$E35/1000,'Tap Calculator'!AR129-L34-L35)</f>
        <v>#REF!</v>
      </c>
      <c r="M36" s="19" t="e">
        <f>MIN($E36/1000-$E35/1000,'Tap Calculator'!AS129-M34-M35)</f>
        <v>#REF!</v>
      </c>
      <c r="N36" s="19" t="e">
        <f>MIN($E36/1000-$E35/1000,'Tap Calculator'!AT129-N34-N35)</f>
        <v>#REF!</v>
      </c>
      <c r="O36" s="19" t="e">
        <f>MIN($E36/1000-$E35/1000,'Tap Calculator'!AU129-O34-O35)</f>
        <v>#REF!</v>
      </c>
      <c r="P36" s="19" t="e">
        <f>MIN($E36/1000-$E35/1000,'Tap Calculator'!AV129-P34-P35)</f>
        <v>#REF!</v>
      </c>
      <c r="Q36" s="19" t="e">
        <f>MIN($E36/1000-$E35/1000,'Tap Calculator'!AW129-Q34-Q35)</f>
        <v>#REF!</v>
      </c>
      <c r="R36" s="19" t="e">
        <f>MIN($E36/1000-$E35/1000,'Tap Calculator'!AX129-R34-R35)</f>
        <v>#REF!</v>
      </c>
      <c r="S36" s="19" t="e">
        <f>MIN($E36/1000-$E35/1000,'Tap Calculator'!AY129-S34-S35)</f>
        <v>#REF!</v>
      </c>
    </row>
    <row r="37" spans="2:20" x14ac:dyDescent="0.25">
      <c r="G37" s="1" t="s">
        <v>193</v>
      </c>
      <c r="H37" s="19" t="e">
        <f>SUM(H34:H36)</f>
        <v>#REF!</v>
      </c>
      <c r="I37" s="19" t="e">
        <f t="shared" ref="I37:S37" si="4">SUM(I34:I36)</f>
        <v>#REF!</v>
      </c>
      <c r="J37" s="19" t="e">
        <f t="shared" si="4"/>
        <v>#REF!</v>
      </c>
      <c r="K37" s="19" t="e">
        <f t="shared" si="4"/>
        <v>#REF!</v>
      </c>
      <c r="L37" s="19" t="e">
        <f t="shared" si="4"/>
        <v>#REF!</v>
      </c>
      <c r="M37" s="19" t="e">
        <f t="shared" si="4"/>
        <v>#REF!</v>
      </c>
      <c r="N37" s="19" t="e">
        <f t="shared" si="4"/>
        <v>#REF!</v>
      </c>
      <c r="O37" s="19" t="e">
        <f t="shared" si="4"/>
        <v>#REF!</v>
      </c>
      <c r="P37" s="19" t="e">
        <f t="shared" si="4"/>
        <v>#REF!</v>
      </c>
      <c r="Q37" s="19" t="e">
        <f t="shared" si="4"/>
        <v>#REF!</v>
      </c>
      <c r="R37" s="19" t="e">
        <f t="shared" si="4"/>
        <v>#REF!</v>
      </c>
      <c r="S37" s="19" t="e">
        <f t="shared" si="4"/>
        <v>#REF!</v>
      </c>
    </row>
    <row r="39" spans="2:20" x14ac:dyDescent="0.25">
      <c r="D39" s="1" t="s">
        <v>182</v>
      </c>
      <c r="E39" s="44">
        <v>8.93</v>
      </c>
      <c r="G39" s="1" t="s">
        <v>181</v>
      </c>
      <c r="H39" s="43" t="e">
        <f t="shared" ref="H39:S39" si="5">$E30+H34*$C34+H35*$C35+H36*$C36</f>
        <v>#REF!</v>
      </c>
      <c r="I39" s="43" t="e">
        <f t="shared" si="5"/>
        <v>#REF!</v>
      </c>
      <c r="J39" s="43" t="e">
        <f t="shared" si="5"/>
        <v>#REF!</v>
      </c>
      <c r="K39" s="43" t="e">
        <f t="shared" si="5"/>
        <v>#REF!</v>
      </c>
      <c r="L39" s="43" t="e">
        <f t="shared" si="5"/>
        <v>#REF!</v>
      </c>
      <c r="M39" s="43" t="e">
        <f t="shared" si="5"/>
        <v>#REF!</v>
      </c>
      <c r="N39" s="43" t="e">
        <f t="shared" si="5"/>
        <v>#REF!</v>
      </c>
      <c r="O39" s="43" t="e">
        <f t="shared" si="5"/>
        <v>#REF!</v>
      </c>
      <c r="P39" s="43" t="e">
        <f t="shared" si="5"/>
        <v>#REF!</v>
      </c>
      <c r="Q39" s="43" t="e">
        <f t="shared" si="5"/>
        <v>#REF!</v>
      </c>
      <c r="R39" s="43" t="e">
        <f t="shared" si="5"/>
        <v>#REF!</v>
      </c>
      <c r="S39" s="43" t="e">
        <f t="shared" si="5"/>
        <v>#REF!</v>
      </c>
    </row>
    <row r="40" spans="2:20" x14ac:dyDescent="0.25">
      <c r="D40" s="1" t="s">
        <v>183</v>
      </c>
      <c r="E40" s="44">
        <v>8.8000000000000007</v>
      </c>
      <c r="G40" s="1" t="s">
        <v>42</v>
      </c>
      <c r="H40" s="43" t="e">
        <f>AVERAGE(H37:I37,S37)*E40+E39</f>
        <v>#REF!</v>
      </c>
      <c r="I40" s="43" t="e">
        <f>H40</f>
        <v>#REF!</v>
      </c>
      <c r="J40" s="43" t="e">
        <f t="shared" ref="J40:S40" si="6">I40</f>
        <v>#REF!</v>
      </c>
      <c r="K40" s="43" t="e">
        <f t="shared" si="6"/>
        <v>#REF!</v>
      </c>
      <c r="L40" s="43" t="e">
        <f t="shared" si="6"/>
        <v>#REF!</v>
      </c>
      <c r="M40" s="43" t="e">
        <f t="shared" si="6"/>
        <v>#REF!</v>
      </c>
      <c r="N40" s="43" t="e">
        <f t="shared" si="6"/>
        <v>#REF!</v>
      </c>
      <c r="O40" s="43" t="e">
        <f t="shared" si="6"/>
        <v>#REF!</v>
      </c>
      <c r="P40" s="43" t="e">
        <f t="shared" si="6"/>
        <v>#REF!</v>
      </c>
      <c r="Q40" s="43" t="e">
        <f t="shared" si="6"/>
        <v>#REF!</v>
      </c>
      <c r="R40" s="43" t="e">
        <f t="shared" si="6"/>
        <v>#REF!</v>
      </c>
      <c r="S40" s="43" t="e">
        <f t="shared" si="6"/>
        <v>#REF!</v>
      </c>
    </row>
    <row r="41" spans="2:20" x14ac:dyDescent="0.25">
      <c r="G41" s="1" t="s">
        <v>184</v>
      </c>
      <c r="H41" s="43">
        <f>E46/12</f>
        <v>26.452271166666666</v>
      </c>
      <c r="I41" s="43">
        <f>H41</f>
        <v>26.452271166666666</v>
      </c>
      <c r="J41" s="43">
        <f t="shared" ref="J41:S41" si="7">I41</f>
        <v>26.452271166666666</v>
      </c>
      <c r="K41" s="43">
        <f t="shared" si="7"/>
        <v>26.452271166666666</v>
      </c>
      <c r="L41" s="43">
        <f t="shared" si="7"/>
        <v>26.452271166666666</v>
      </c>
      <c r="M41" s="43">
        <f t="shared" si="7"/>
        <v>26.452271166666666</v>
      </c>
      <c r="N41" s="43">
        <f t="shared" si="7"/>
        <v>26.452271166666666</v>
      </c>
      <c r="O41" s="43">
        <f t="shared" si="7"/>
        <v>26.452271166666666</v>
      </c>
      <c r="P41" s="43">
        <f t="shared" si="7"/>
        <v>26.452271166666666</v>
      </c>
      <c r="Q41" s="43">
        <f t="shared" si="7"/>
        <v>26.452271166666666</v>
      </c>
      <c r="R41" s="43">
        <f t="shared" si="7"/>
        <v>26.452271166666666</v>
      </c>
      <c r="S41" s="43">
        <f t="shared" si="7"/>
        <v>26.452271166666666</v>
      </c>
    </row>
    <row r="42" spans="2:20" x14ac:dyDescent="0.25">
      <c r="D42" s="38" t="s">
        <v>194</v>
      </c>
      <c r="E42" s="2">
        <f>1.727+7.5</f>
        <v>9.2270000000000003</v>
      </c>
      <c r="G42" s="1" t="s">
        <v>43</v>
      </c>
      <c r="H42" s="43" t="e">
        <f>H40+H39+H41</f>
        <v>#REF!</v>
      </c>
      <c r="I42" s="43" t="e">
        <f t="shared" ref="I42:S42" si="8">I40+I39+I41</f>
        <v>#REF!</v>
      </c>
      <c r="J42" s="43" t="e">
        <f t="shared" si="8"/>
        <v>#REF!</v>
      </c>
      <c r="K42" s="43" t="e">
        <f t="shared" si="8"/>
        <v>#REF!</v>
      </c>
      <c r="L42" s="43" t="e">
        <f t="shared" si="8"/>
        <v>#REF!</v>
      </c>
      <c r="M42" s="43" t="e">
        <f t="shared" si="8"/>
        <v>#REF!</v>
      </c>
      <c r="N42" s="43" t="e">
        <f t="shared" si="8"/>
        <v>#REF!</v>
      </c>
      <c r="O42" s="43" t="e">
        <f t="shared" si="8"/>
        <v>#REF!</v>
      </c>
      <c r="P42" s="43" t="e">
        <f t="shared" si="8"/>
        <v>#REF!</v>
      </c>
      <c r="Q42" s="43" t="e">
        <f t="shared" si="8"/>
        <v>#REF!</v>
      </c>
      <c r="R42" s="43" t="e">
        <f t="shared" si="8"/>
        <v>#REF!</v>
      </c>
      <c r="S42" s="43" t="e">
        <f t="shared" si="8"/>
        <v>#REF!</v>
      </c>
      <c r="T42" s="43" t="e">
        <f>SUM(H42:S42)</f>
        <v>#REF!</v>
      </c>
    </row>
    <row r="43" spans="2:20" x14ac:dyDescent="0.25">
      <c r="D43" s="1" t="s">
        <v>195</v>
      </c>
      <c r="E43" s="35">
        <v>417500</v>
      </c>
    </row>
    <row r="44" spans="2:20" x14ac:dyDescent="0.25">
      <c r="D44" s="38" t="s">
        <v>196</v>
      </c>
      <c r="E44" s="54">
        <v>8.2400000000000001E-2</v>
      </c>
    </row>
    <row r="45" spans="2:20" x14ac:dyDescent="0.25">
      <c r="D45" s="1" t="s">
        <v>197</v>
      </c>
      <c r="E45" s="35">
        <f>E43*E44</f>
        <v>34402</v>
      </c>
    </row>
    <row r="46" spans="2:20" x14ac:dyDescent="0.25">
      <c r="D46" s="1" t="s">
        <v>198</v>
      </c>
      <c r="E46" s="44">
        <f>E42/1000*E45</f>
        <v>317.427254</v>
      </c>
    </row>
    <row r="48" spans="2:20" x14ac:dyDescent="0.25">
      <c r="B48" s="21" t="s">
        <v>199</v>
      </c>
    </row>
    <row r="49" spans="1:20" x14ac:dyDescent="0.25">
      <c r="B49" s="21" t="s">
        <v>200</v>
      </c>
    </row>
    <row r="50" spans="1:20" x14ac:dyDescent="0.25">
      <c r="B50" s="21"/>
    </row>
    <row r="51" spans="1:20" x14ac:dyDescent="0.25">
      <c r="A51" s="55"/>
      <c r="B51" s="55"/>
      <c r="C51" s="55"/>
      <c r="D51" s="55"/>
      <c r="E51" s="55"/>
      <c r="F51" s="55"/>
      <c r="G51" s="55"/>
      <c r="H51" s="55"/>
      <c r="I51" s="55"/>
      <c r="J51" s="55"/>
      <c r="K51" s="55"/>
      <c r="L51" s="55"/>
      <c r="M51" s="55"/>
      <c r="N51" s="55"/>
      <c r="O51" s="55"/>
      <c r="P51" s="55"/>
      <c r="Q51" s="55"/>
      <c r="R51" s="55"/>
      <c r="S51" s="55"/>
      <c r="T51" s="55"/>
    </row>
    <row r="53" spans="1:20" x14ac:dyDescent="0.25">
      <c r="B53" t="s">
        <v>201</v>
      </c>
      <c r="E53" s="44">
        <f>9.54+17.52</f>
        <v>27.06</v>
      </c>
    </row>
    <row r="54" spans="1:20" ht="15.75" thickBot="1" x14ac:dyDescent="0.3"/>
    <row r="55" spans="1:20" x14ac:dyDescent="0.25">
      <c r="B55" s="10" t="s">
        <v>85</v>
      </c>
      <c r="C55" s="6" t="s">
        <v>170</v>
      </c>
      <c r="D55" s="28" t="s">
        <v>85</v>
      </c>
      <c r="E55" s="45"/>
    </row>
    <row r="56" spans="1:20" ht="15.75" thickBot="1" x14ac:dyDescent="0.3">
      <c r="B56" s="7" t="s">
        <v>171</v>
      </c>
      <c r="C56" s="50" t="s">
        <v>172</v>
      </c>
      <c r="D56" s="51" t="s">
        <v>173</v>
      </c>
      <c r="E56" s="52"/>
      <c r="H56" s="2" t="s">
        <v>29</v>
      </c>
      <c r="I56" s="2" t="s">
        <v>30</v>
      </c>
      <c r="J56" s="2" t="s">
        <v>31</v>
      </c>
      <c r="K56" s="2" t="s">
        <v>32</v>
      </c>
      <c r="L56" s="2" t="s">
        <v>33</v>
      </c>
      <c r="M56" s="2" t="s">
        <v>34</v>
      </c>
      <c r="N56" s="2" t="s">
        <v>35</v>
      </c>
      <c r="O56" s="2" t="s">
        <v>36</v>
      </c>
      <c r="P56" s="2" t="s">
        <v>37</v>
      </c>
      <c r="Q56" s="2" t="s">
        <v>38</v>
      </c>
      <c r="R56" s="2" t="s">
        <v>39</v>
      </c>
      <c r="S56" s="2" t="s">
        <v>40</v>
      </c>
      <c r="T56" s="2" t="s">
        <v>174</v>
      </c>
    </row>
    <row r="57" spans="1:20" x14ac:dyDescent="0.25">
      <c r="B57" s="16" t="s">
        <v>202</v>
      </c>
      <c r="C57">
        <v>2.82</v>
      </c>
      <c r="D57" s="46">
        <v>0</v>
      </c>
      <c r="E57" s="56" t="e">
        <f>(H60+I60+R60+S60)/4*1000</f>
        <v>#REF!</v>
      </c>
      <c r="G57" s="1" t="s">
        <v>203</v>
      </c>
      <c r="H57" s="19">
        <f>'Tap Calculator'!AN121</f>
        <v>6.71</v>
      </c>
      <c r="I57" s="19">
        <f>'Tap Calculator'!AO121</f>
        <v>6.71</v>
      </c>
      <c r="J57" s="19">
        <f>'Tap Calculator'!AP121</f>
        <v>6.71</v>
      </c>
      <c r="K57" s="19">
        <f>'Tap Calculator'!AQ121</f>
        <v>6.71</v>
      </c>
      <c r="L57" s="19">
        <f>'Tap Calculator'!AR121</f>
        <v>6.71</v>
      </c>
      <c r="M57" s="19">
        <f>'Tap Calculator'!AS121</f>
        <v>6.71</v>
      </c>
      <c r="N57" s="19">
        <f>'Tap Calculator'!AT121</f>
        <v>6.71</v>
      </c>
      <c r="O57" s="19">
        <f>'Tap Calculator'!AU121</f>
        <v>6.71</v>
      </c>
      <c r="P57" s="19">
        <f>'Tap Calculator'!AV121</f>
        <v>6.71</v>
      </c>
      <c r="Q57" s="19">
        <f>'Tap Calculator'!AW121</f>
        <v>6.71</v>
      </c>
      <c r="R57" s="19">
        <f>'Tap Calculator'!AX121</f>
        <v>6.71</v>
      </c>
      <c r="S57" s="19">
        <f>'Tap Calculator'!AY121</f>
        <v>6.71</v>
      </c>
    </row>
    <row r="58" spans="1:20" x14ac:dyDescent="0.25">
      <c r="B58" s="16" t="s">
        <v>204</v>
      </c>
      <c r="C58">
        <v>5.53</v>
      </c>
      <c r="D58" s="57" t="s">
        <v>205</v>
      </c>
      <c r="E58" s="58"/>
      <c r="G58" s="1" t="s">
        <v>206</v>
      </c>
      <c r="H58" s="19">
        <f>'Tap Calculator'!AN123</f>
        <v>0</v>
      </c>
      <c r="I58" s="19">
        <f>'Tap Calculator'!AO123</f>
        <v>0</v>
      </c>
      <c r="J58" s="19">
        <f>'Tap Calculator'!AP123</f>
        <v>0.42707075999999994</v>
      </c>
      <c r="K58" s="19">
        <f>'Tap Calculator'!AQ123</f>
        <v>2.9894953200000001</v>
      </c>
      <c r="L58" s="19">
        <f>'Tap Calculator'!AR123</f>
        <v>5.9789906400000001</v>
      </c>
      <c r="M58" s="19">
        <f>'Tap Calculator'!AS123</f>
        <v>8.5414151999999994</v>
      </c>
      <c r="N58" s="19">
        <f>'Tap Calculator'!AT123</f>
        <v>8.5414151999999994</v>
      </c>
      <c r="O58" s="19">
        <f>'Tap Calculator'!AU123</f>
        <v>7.6872736799999988</v>
      </c>
      <c r="P58" s="19">
        <f>'Tap Calculator'!AV123</f>
        <v>5.1248491199999986</v>
      </c>
      <c r="Q58" s="19">
        <f>'Tap Calculator'!AW123</f>
        <v>2.9894953200000001</v>
      </c>
      <c r="R58" s="19">
        <f>'Tap Calculator'!AX123</f>
        <v>0.42707075999999994</v>
      </c>
      <c r="S58" s="19">
        <f>'Tap Calculator'!AY123</f>
        <v>0</v>
      </c>
    </row>
    <row r="59" spans="1:20" ht="15.75" thickBot="1" x14ac:dyDescent="0.3">
      <c r="B59" s="18" t="s">
        <v>207</v>
      </c>
      <c r="C59" s="9">
        <v>8.2899999999999991</v>
      </c>
      <c r="D59" s="59" t="s">
        <v>208</v>
      </c>
      <c r="E59" s="52"/>
      <c r="G59" s="1" t="s">
        <v>209</v>
      </c>
      <c r="H59" s="19" t="e">
        <f>'Tap Calculator'!AN129-H58-H57</f>
        <v>#REF!</v>
      </c>
      <c r="I59" s="19" t="e">
        <f>'Tap Calculator'!AO129-I58-I57</f>
        <v>#REF!</v>
      </c>
      <c r="J59" s="19" t="e">
        <f>'Tap Calculator'!AP129-J58-J57</f>
        <v>#REF!</v>
      </c>
      <c r="K59" s="19" t="e">
        <f>'Tap Calculator'!AQ129-K58-K57</f>
        <v>#REF!</v>
      </c>
      <c r="L59" s="19" t="e">
        <f>'Tap Calculator'!AR129-L58-L57</f>
        <v>#REF!</v>
      </c>
      <c r="M59" s="19" t="e">
        <f>'Tap Calculator'!AS129-M58-M57</f>
        <v>#REF!</v>
      </c>
      <c r="N59" s="19" t="e">
        <f>'Tap Calculator'!AT129-N58-N57</f>
        <v>#REF!</v>
      </c>
      <c r="O59" s="19" t="e">
        <f>'Tap Calculator'!AU129-O58-O57</f>
        <v>#REF!</v>
      </c>
      <c r="P59" s="19" t="e">
        <f>'Tap Calculator'!AV129-P58-P57</f>
        <v>#REF!</v>
      </c>
      <c r="Q59" s="19" t="e">
        <f>'Tap Calculator'!AW129-Q58-Q57</f>
        <v>#REF!</v>
      </c>
      <c r="R59" s="19" t="e">
        <f>'Tap Calculator'!AX129-R58-R57</f>
        <v>#REF!</v>
      </c>
      <c r="S59" s="19" t="e">
        <f>'Tap Calculator'!AY129-S58-S57</f>
        <v>#REF!</v>
      </c>
    </row>
    <row r="60" spans="1:20" x14ac:dyDescent="0.25">
      <c r="G60" s="1" t="s">
        <v>193</v>
      </c>
      <c r="H60" s="19" t="e">
        <f>H37</f>
        <v>#REF!</v>
      </c>
      <c r="I60" s="19" t="e">
        <f t="shared" ref="I60:S60" si="9">I37</f>
        <v>#REF!</v>
      </c>
      <c r="J60" s="19" t="e">
        <f t="shared" si="9"/>
        <v>#REF!</v>
      </c>
      <c r="K60" s="19" t="e">
        <f t="shared" si="9"/>
        <v>#REF!</v>
      </c>
      <c r="L60" s="19" t="e">
        <f t="shared" si="9"/>
        <v>#REF!</v>
      </c>
      <c r="M60" s="19" t="e">
        <f t="shared" si="9"/>
        <v>#REF!</v>
      </c>
      <c r="N60" s="19" t="e">
        <f t="shared" si="9"/>
        <v>#REF!</v>
      </c>
      <c r="O60" s="19" t="e">
        <f t="shared" si="9"/>
        <v>#REF!</v>
      </c>
      <c r="P60" s="19" t="e">
        <f t="shared" si="9"/>
        <v>#REF!</v>
      </c>
      <c r="Q60" s="19" t="e">
        <f t="shared" si="9"/>
        <v>#REF!</v>
      </c>
      <c r="R60" s="19" t="e">
        <f t="shared" si="9"/>
        <v>#REF!</v>
      </c>
      <c r="S60" s="19" t="e">
        <f t="shared" si="9"/>
        <v>#REF!</v>
      </c>
    </row>
    <row r="62" spans="1:20" x14ac:dyDescent="0.25">
      <c r="D62" s="1" t="s">
        <v>182</v>
      </c>
      <c r="E62" s="44">
        <v>9.3000000000000007</v>
      </c>
      <c r="G62" s="1" t="s">
        <v>181</v>
      </c>
      <c r="H62" s="43" t="e">
        <f t="shared" ref="H62:S62" si="10">$E53+H57*$C57+H58*$C58+H59*$C59</f>
        <v>#REF!</v>
      </c>
      <c r="I62" s="43" t="e">
        <f t="shared" si="10"/>
        <v>#REF!</v>
      </c>
      <c r="J62" s="43" t="e">
        <f t="shared" si="10"/>
        <v>#REF!</v>
      </c>
      <c r="K62" s="43" t="e">
        <f t="shared" si="10"/>
        <v>#REF!</v>
      </c>
      <c r="L62" s="43" t="e">
        <f t="shared" si="10"/>
        <v>#REF!</v>
      </c>
      <c r="M62" s="43" t="e">
        <f t="shared" si="10"/>
        <v>#REF!</v>
      </c>
      <c r="N62" s="43" t="e">
        <f t="shared" si="10"/>
        <v>#REF!</v>
      </c>
      <c r="O62" s="43" t="e">
        <f t="shared" si="10"/>
        <v>#REF!</v>
      </c>
      <c r="P62" s="43" t="e">
        <f t="shared" si="10"/>
        <v>#REF!</v>
      </c>
      <c r="Q62" s="43" t="e">
        <f t="shared" si="10"/>
        <v>#REF!</v>
      </c>
      <c r="R62" s="43" t="e">
        <f t="shared" si="10"/>
        <v>#REF!</v>
      </c>
      <c r="S62" s="43" t="e">
        <f t="shared" si="10"/>
        <v>#REF!</v>
      </c>
    </row>
    <row r="63" spans="1:20" x14ac:dyDescent="0.25">
      <c r="D63" s="1" t="s">
        <v>183</v>
      </c>
      <c r="E63" s="44">
        <v>6.59</v>
      </c>
      <c r="G63" s="1" t="s">
        <v>42</v>
      </c>
      <c r="H63" s="43" t="e">
        <f>AVERAGE(H60:I60,S60)*E63+E62</f>
        <v>#REF!</v>
      </c>
      <c r="I63" s="43" t="e">
        <f>H63</f>
        <v>#REF!</v>
      </c>
      <c r="J63" s="43" t="e">
        <f t="shared" ref="J63:J64" si="11">I63</f>
        <v>#REF!</v>
      </c>
      <c r="K63" s="43" t="e">
        <f t="shared" ref="K63:K64" si="12">J63</f>
        <v>#REF!</v>
      </c>
      <c r="L63" s="43" t="e">
        <f t="shared" ref="L63:L64" si="13">K63</f>
        <v>#REF!</v>
      </c>
      <c r="M63" s="43" t="e">
        <f t="shared" ref="M63:M64" si="14">L63</f>
        <v>#REF!</v>
      </c>
      <c r="N63" s="43" t="e">
        <f t="shared" ref="N63:N64" si="15">M63</f>
        <v>#REF!</v>
      </c>
      <c r="O63" s="43" t="e">
        <f t="shared" ref="O63:O64" si="16">N63</f>
        <v>#REF!</v>
      </c>
      <c r="P63" s="43" t="e">
        <f t="shared" ref="P63:P64" si="17">O63</f>
        <v>#REF!</v>
      </c>
      <c r="Q63" s="43" t="e">
        <f t="shared" ref="Q63:Q64" si="18">P63</f>
        <v>#REF!</v>
      </c>
      <c r="R63" s="43" t="e">
        <f t="shared" ref="R63:R64" si="19">Q63</f>
        <v>#REF!</v>
      </c>
      <c r="S63" s="43" t="e">
        <f t="shared" ref="S63:S64" si="20">R63</f>
        <v>#REF!</v>
      </c>
    </row>
    <row r="64" spans="1:20" x14ac:dyDescent="0.25">
      <c r="G64" s="1" t="s">
        <v>184</v>
      </c>
      <c r="H64" s="43">
        <f>E69/12</f>
        <v>0</v>
      </c>
      <c r="I64" s="43">
        <f>H64</f>
        <v>0</v>
      </c>
      <c r="J64" s="43">
        <f t="shared" si="11"/>
        <v>0</v>
      </c>
      <c r="K64" s="43">
        <f t="shared" si="12"/>
        <v>0</v>
      </c>
      <c r="L64" s="43">
        <f t="shared" si="13"/>
        <v>0</v>
      </c>
      <c r="M64" s="43">
        <f t="shared" si="14"/>
        <v>0</v>
      </c>
      <c r="N64" s="43">
        <f t="shared" si="15"/>
        <v>0</v>
      </c>
      <c r="O64" s="43">
        <f t="shared" si="16"/>
        <v>0</v>
      </c>
      <c r="P64" s="43">
        <f t="shared" si="17"/>
        <v>0</v>
      </c>
      <c r="Q64" s="43">
        <f t="shared" si="18"/>
        <v>0</v>
      </c>
      <c r="R64" s="43">
        <f t="shared" si="19"/>
        <v>0</v>
      </c>
      <c r="S64" s="43">
        <f t="shared" si="20"/>
        <v>0</v>
      </c>
    </row>
    <row r="65" spans="1:20" x14ac:dyDescent="0.25">
      <c r="D65" s="38" t="s">
        <v>210</v>
      </c>
      <c r="E65" s="2">
        <v>0</v>
      </c>
      <c r="G65" s="1" t="s">
        <v>43</v>
      </c>
      <c r="H65" s="43" t="e">
        <f>H63+H62+H64</f>
        <v>#REF!</v>
      </c>
      <c r="I65" s="43" t="e">
        <f t="shared" ref="I65:S65" si="21">I63+I62+I64</f>
        <v>#REF!</v>
      </c>
      <c r="J65" s="43" t="e">
        <f t="shared" si="21"/>
        <v>#REF!</v>
      </c>
      <c r="K65" s="43" t="e">
        <f t="shared" si="21"/>
        <v>#REF!</v>
      </c>
      <c r="L65" s="43" t="e">
        <f t="shared" si="21"/>
        <v>#REF!</v>
      </c>
      <c r="M65" s="43" t="e">
        <f t="shared" si="21"/>
        <v>#REF!</v>
      </c>
      <c r="N65" s="43" t="e">
        <f t="shared" si="21"/>
        <v>#REF!</v>
      </c>
      <c r="O65" s="43" t="e">
        <f t="shared" si="21"/>
        <v>#REF!</v>
      </c>
      <c r="P65" s="43" t="e">
        <f t="shared" si="21"/>
        <v>#REF!</v>
      </c>
      <c r="Q65" s="43" t="e">
        <f t="shared" si="21"/>
        <v>#REF!</v>
      </c>
      <c r="R65" s="43" t="e">
        <f t="shared" si="21"/>
        <v>#REF!</v>
      </c>
      <c r="S65" s="43" t="e">
        <f t="shared" si="21"/>
        <v>#REF!</v>
      </c>
      <c r="T65" s="43" t="e">
        <f>SUM(H65:S65)</f>
        <v>#REF!</v>
      </c>
    </row>
    <row r="66" spans="1:20" x14ac:dyDescent="0.25">
      <c r="D66" s="1" t="s">
        <v>211</v>
      </c>
      <c r="E66" s="35">
        <v>431400</v>
      </c>
    </row>
    <row r="67" spans="1:20" x14ac:dyDescent="0.25">
      <c r="D67" s="38" t="s">
        <v>196</v>
      </c>
      <c r="E67" s="54">
        <v>8.1684999999999994E-2</v>
      </c>
    </row>
    <row r="68" spans="1:20" x14ac:dyDescent="0.25">
      <c r="D68" s="1" t="s">
        <v>212</v>
      </c>
      <c r="E68" s="35">
        <f>E66*E67</f>
        <v>35238.909</v>
      </c>
    </row>
    <row r="69" spans="1:20" x14ac:dyDescent="0.25">
      <c r="D69" s="1" t="s">
        <v>213</v>
      </c>
      <c r="E69" s="44">
        <f>E65/1000*E68</f>
        <v>0</v>
      </c>
    </row>
    <row r="71" spans="1:20" x14ac:dyDescent="0.25">
      <c r="B71" s="21" t="s">
        <v>214</v>
      </c>
    </row>
    <row r="72" spans="1:20" x14ac:dyDescent="0.25">
      <c r="B72" s="21"/>
    </row>
    <row r="73" spans="1:20" x14ac:dyDescent="0.25">
      <c r="A73" s="55"/>
      <c r="B73" s="55"/>
      <c r="C73" s="55"/>
      <c r="D73" s="55"/>
      <c r="E73" s="55"/>
      <c r="F73" s="55"/>
      <c r="G73" s="55"/>
      <c r="H73" s="55"/>
      <c r="I73" s="55"/>
      <c r="J73" s="55"/>
      <c r="K73" s="55"/>
      <c r="L73" s="55"/>
      <c r="M73" s="55"/>
      <c r="N73" s="55"/>
      <c r="O73" s="55"/>
      <c r="P73" s="55"/>
      <c r="Q73" s="55"/>
      <c r="R73" s="55"/>
      <c r="S73" s="55"/>
      <c r="T73" s="55"/>
    </row>
    <row r="75" spans="1:20" x14ac:dyDescent="0.25">
      <c r="F75" s="1" t="s">
        <v>215</v>
      </c>
      <c r="H75" s="43" t="e">
        <f>(H65+H42+H18)/3</f>
        <v>#REF!</v>
      </c>
      <c r="I75" s="43" t="e">
        <f t="shared" ref="I75:S75" si="22">(I65+I42+I18)/3</f>
        <v>#REF!</v>
      </c>
      <c r="J75" s="43" t="e">
        <f t="shared" si="22"/>
        <v>#REF!</v>
      </c>
      <c r="K75" s="43" t="e">
        <f t="shared" si="22"/>
        <v>#REF!</v>
      </c>
      <c r="L75" s="43" t="e">
        <f t="shared" si="22"/>
        <v>#REF!</v>
      </c>
      <c r="M75" s="43" t="e">
        <f t="shared" si="22"/>
        <v>#REF!</v>
      </c>
      <c r="N75" s="43" t="e">
        <f t="shared" si="22"/>
        <v>#REF!</v>
      </c>
      <c r="O75" s="43" t="e">
        <f t="shared" si="22"/>
        <v>#REF!</v>
      </c>
      <c r="P75" s="43" t="e">
        <f t="shared" si="22"/>
        <v>#REF!</v>
      </c>
      <c r="Q75" s="43" t="e">
        <f t="shared" si="22"/>
        <v>#REF!</v>
      </c>
      <c r="R75" s="43" t="e">
        <f t="shared" si="22"/>
        <v>#REF!</v>
      </c>
      <c r="S75" s="43" t="e">
        <f t="shared" si="22"/>
        <v>#REF!</v>
      </c>
      <c r="T75" s="43" t="e">
        <f>SUM(H75:S75)</f>
        <v>#REF!</v>
      </c>
    </row>
    <row r="76" spans="1:20" x14ac:dyDescent="0.25">
      <c r="T76" s="43"/>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C33"/>
  <sheetViews>
    <sheetView topLeftCell="A7" workbookViewId="0">
      <selection activeCell="B36" sqref="B36"/>
    </sheetView>
  </sheetViews>
  <sheetFormatPr defaultRowHeight="15" x14ac:dyDescent="0.25"/>
  <cols>
    <col min="1" max="1" width="4.7109375" customWidth="1"/>
    <col min="2" max="2" width="31.7109375" customWidth="1"/>
  </cols>
  <sheetData>
    <row r="3" spans="2:3" x14ac:dyDescent="0.25">
      <c r="B3" s="63" t="s">
        <v>216</v>
      </c>
    </row>
    <row r="4" spans="2:3" x14ac:dyDescent="0.25">
      <c r="B4" s="1" t="s">
        <v>217</v>
      </c>
      <c r="C4" s="60">
        <v>26500</v>
      </c>
    </row>
    <row r="6" spans="2:3" x14ac:dyDescent="0.25">
      <c r="B6" s="1" t="s">
        <v>218</v>
      </c>
      <c r="C6" s="60">
        <v>1524</v>
      </c>
    </row>
    <row r="7" spans="2:3" ht="15.75" thickBot="1" x14ac:dyDescent="0.3">
      <c r="B7" s="61" t="s">
        <v>219</v>
      </c>
      <c r="C7" s="62">
        <v>4220</v>
      </c>
    </row>
    <row r="8" spans="2:3" ht="15.75" thickTop="1" x14ac:dyDescent="0.25">
      <c r="B8" s="1" t="s">
        <v>220</v>
      </c>
      <c r="C8" s="60">
        <f>C7+C6</f>
        <v>5744</v>
      </c>
    </row>
    <row r="10" spans="2:3" x14ac:dyDescent="0.25">
      <c r="B10" s="1" t="s">
        <v>221</v>
      </c>
      <c r="C10" s="60">
        <f>C8+C4</f>
        <v>32244</v>
      </c>
    </row>
    <row r="13" spans="2:3" x14ac:dyDescent="0.25">
      <c r="B13" s="63" t="s">
        <v>222</v>
      </c>
    </row>
    <row r="14" spans="2:3" x14ac:dyDescent="0.25">
      <c r="B14" s="1" t="s">
        <v>223</v>
      </c>
      <c r="C14" s="60">
        <v>9940</v>
      </c>
    </row>
    <row r="15" spans="2:3" x14ac:dyDescent="0.25">
      <c r="B15" s="1" t="s">
        <v>224</v>
      </c>
      <c r="C15" s="60">
        <v>12170</v>
      </c>
    </row>
    <row r="16" spans="2:3" x14ac:dyDescent="0.25">
      <c r="B16" s="1" t="s">
        <v>225</v>
      </c>
      <c r="C16" s="60">
        <v>5000</v>
      </c>
    </row>
    <row r="17" spans="2:3" ht="15.75" thickBot="1" x14ac:dyDescent="0.3">
      <c r="B17" s="61" t="s">
        <v>226</v>
      </c>
      <c r="C17" s="62">
        <f>380+110</f>
        <v>490</v>
      </c>
    </row>
    <row r="18" spans="2:3" ht="15.75" thickTop="1" x14ac:dyDescent="0.25">
      <c r="B18" s="1"/>
      <c r="C18" s="60">
        <f>SUM(C14:C17)</f>
        <v>27600</v>
      </c>
    </row>
    <row r="20" spans="2:3" ht="15.75" thickBot="1" x14ac:dyDescent="0.3">
      <c r="B20" s="61" t="s">
        <v>227</v>
      </c>
      <c r="C20" s="62">
        <v>3550</v>
      </c>
    </row>
    <row r="21" spans="2:3" ht="15.75" thickTop="1" x14ac:dyDescent="0.25"/>
    <row r="22" spans="2:3" x14ac:dyDescent="0.25">
      <c r="B22" s="1" t="s">
        <v>228</v>
      </c>
      <c r="C22" s="60">
        <f>C20+C18</f>
        <v>31150</v>
      </c>
    </row>
    <row r="25" spans="2:3" x14ac:dyDescent="0.25">
      <c r="B25" s="63" t="s">
        <v>229</v>
      </c>
    </row>
    <row r="26" spans="2:3" x14ac:dyDescent="0.25">
      <c r="B26" s="1" t="s">
        <v>223</v>
      </c>
      <c r="C26" s="60">
        <v>3314</v>
      </c>
    </row>
    <row r="27" spans="2:3" x14ac:dyDescent="0.25">
      <c r="B27" s="1" t="s">
        <v>230</v>
      </c>
      <c r="C27" s="60">
        <v>15248</v>
      </c>
    </row>
    <row r="28" spans="2:3" ht="15.75" thickBot="1" x14ac:dyDescent="0.3">
      <c r="B28" s="61" t="s">
        <v>226</v>
      </c>
      <c r="C28" s="62"/>
    </row>
    <row r="29" spans="2:3" ht="15.75" thickTop="1" x14ac:dyDescent="0.25">
      <c r="B29" s="1"/>
      <c r="C29" s="60">
        <f>SUM(C26:C28)</f>
        <v>18562</v>
      </c>
    </row>
    <row r="31" spans="2:3" ht="15.75" thickBot="1" x14ac:dyDescent="0.3">
      <c r="B31" s="61" t="s">
        <v>227</v>
      </c>
      <c r="C31" s="62">
        <v>3437</v>
      </c>
    </row>
    <row r="32" spans="2:3" ht="15.75" thickTop="1" x14ac:dyDescent="0.25"/>
    <row r="33" spans="2:3" x14ac:dyDescent="0.25">
      <c r="B33" s="1" t="s">
        <v>231</v>
      </c>
      <c r="C33" s="60">
        <f>C31+C29</f>
        <v>21999</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041c7ee-f0f0-495c-bb34-5c812f72eec9" xsi:nil="true"/>
    <lcf76f155ced4ddcb4097134ff3c332f xmlns="4b0f6fe7-d6f0-42af-9b1b-4df6216ca73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FB38E79B128E49AF5B13BB42F970AD" ma:contentTypeVersion="18" ma:contentTypeDescription="Create a new document." ma:contentTypeScope="" ma:versionID="87cffe80c87e8b3912137dfb6aeaa84a">
  <xsd:schema xmlns:xsd="http://www.w3.org/2001/XMLSchema" xmlns:xs="http://www.w3.org/2001/XMLSchema" xmlns:p="http://schemas.microsoft.com/office/2006/metadata/properties" xmlns:ns2="4b0f6fe7-d6f0-42af-9b1b-4df6216ca730" xmlns:ns3="1041c7ee-f0f0-495c-bb34-5c812f72eec9" targetNamespace="http://schemas.microsoft.com/office/2006/metadata/properties" ma:root="true" ma:fieldsID="c27ec11d1cf68116570768ea73a078f4" ns2:_="" ns3:_="">
    <xsd:import namespace="4b0f6fe7-d6f0-42af-9b1b-4df6216ca730"/>
    <xsd:import namespace="1041c7ee-f0f0-495c-bb34-5c812f72eec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0f6fe7-d6f0-42af-9b1b-4df6216ca7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3fbfe2a-1d12-4c87-bef1-097dbf035f5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41c7ee-f0f0-495c-bb34-5c812f72eec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a5d7f05-aaee-4803-aa4b-7b70c6fbfd75}" ma:internalName="TaxCatchAll" ma:showField="CatchAllData" ma:web="1041c7ee-f0f0-495c-bb34-5c812f72ee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013FE2-D144-48FA-9C61-38D9D0ADE47C}">
  <ds:schemaRefs>
    <ds:schemaRef ds:uri="http://schemas.microsoft.com/office/2006/metadata/properties"/>
    <ds:schemaRef ds:uri="http://schemas.microsoft.com/office/infopath/2007/PartnerControls"/>
    <ds:schemaRef ds:uri="1041c7ee-f0f0-495c-bb34-5c812f72eec9"/>
    <ds:schemaRef ds:uri="4b0f6fe7-d6f0-42af-9b1b-4df6216ca730"/>
  </ds:schemaRefs>
</ds:datastoreItem>
</file>

<file path=customXml/itemProps2.xml><?xml version="1.0" encoding="utf-8"?>
<ds:datastoreItem xmlns:ds="http://schemas.openxmlformats.org/officeDocument/2006/customXml" ds:itemID="{DD2A2CA0-48D0-4C5D-90BC-5217CE7853C5}">
  <ds:schemaRefs>
    <ds:schemaRef ds:uri="http://schemas.microsoft.com/sharepoint/v3/contenttype/forms"/>
  </ds:schemaRefs>
</ds:datastoreItem>
</file>

<file path=customXml/itemProps3.xml><?xml version="1.0" encoding="utf-8"?>
<ds:datastoreItem xmlns:ds="http://schemas.openxmlformats.org/officeDocument/2006/customXml" ds:itemID="{400D69DB-08EA-4C27-9985-E3EB624257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0f6fe7-d6f0-42af-9b1b-4df6216ca730"/>
    <ds:schemaRef ds:uri="1041c7ee-f0f0-495c-bb34-5c812f72ee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Domestic Water Services Page</vt:lpstr>
      <vt:lpstr>Agreement</vt:lpstr>
      <vt:lpstr>Tap Calculator</vt:lpstr>
      <vt:lpstr>Other Areas Page</vt:lpstr>
      <vt:lpstr>SDC Approach</vt:lpstr>
      <vt:lpstr>Monthly Cost Compare</vt:lpstr>
      <vt:lpstr>Tap Fee Cost Compare</vt:lpstr>
      <vt:lpstr>Agreement!Print_Area</vt:lpstr>
      <vt:lpstr>'SDC Approach'!Print_Area</vt:lpstr>
      <vt:lpstr>'Tap Calculator'!Print_Area</vt:lpstr>
    </vt:vector>
  </TitlesOfParts>
  <Manager/>
  <Company>Windows User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Klint</dc:creator>
  <cp:keywords/>
  <dc:description/>
  <cp:lastModifiedBy>Brent Brouillard</cp:lastModifiedBy>
  <cp:revision/>
  <cp:lastPrinted>2025-12-29T19:02:39Z</cp:lastPrinted>
  <dcterms:created xsi:type="dcterms:W3CDTF">2017-03-07T15:18:04Z</dcterms:created>
  <dcterms:modified xsi:type="dcterms:W3CDTF">2026-01-08T18:23:08Z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0x01010075FB38E79B128E49AF5B13BB42F970AD</vt:lpwstr>
  </property>
  <property fmtid="{D5CDD505-2E9C-101B-9397-08002B2CF9AE}" pid="3" name="Order">
    <vt:r8>7000</vt:r8>
  </property>
  <property fmtid="{D5CDD505-2E9C-101B-9397-08002B2CF9AE}" pid="4" name="MediaServiceImageTags">
    <vt:lpwstr/>
  </property>
</Properties>
</file>